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fa1\Downloads\"/>
    </mc:Choice>
  </mc:AlternateContent>
  <xr:revisionPtr revIDLastSave="0" documentId="13_ncr:1_{D6EB7DD2-BF82-4FC7-8B33-7B2DA06C7F1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00_Mi_Buen_Fin" sheetId="1" r:id="rId1"/>
    <sheet name="01_Alistate" sheetId="5" r:id="rId2"/>
    <sheet name="02_Controla" sheetId="3" r:id="rId3"/>
    <sheet name="03_Cierr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" l="1"/>
  <c r="F30" i="4"/>
  <c r="B30" i="4"/>
  <c r="G29" i="4"/>
  <c r="F29" i="4"/>
  <c r="B29" i="4"/>
  <c r="G28" i="4"/>
  <c r="F28" i="4"/>
  <c r="G27" i="4"/>
  <c r="F27" i="4"/>
  <c r="G26" i="4"/>
  <c r="F26" i="4"/>
  <c r="B26" i="4"/>
  <c r="G25" i="4"/>
  <c r="F25" i="4"/>
  <c r="B25" i="4"/>
  <c r="G24" i="4"/>
  <c r="F24" i="4"/>
  <c r="B24" i="4"/>
  <c r="M18" i="4"/>
  <c r="J18" i="4"/>
  <c r="B10" i="4"/>
  <c r="B8" i="4"/>
  <c r="L75" i="3"/>
  <c r="A75" i="3"/>
  <c r="L74" i="3"/>
  <c r="A74" i="3"/>
  <c r="L73" i="3"/>
  <c r="A73" i="3"/>
  <c r="L72" i="3"/>
  <c r="A72" i="3"/>
  <c r="L71" i="3"/>
  <c r="A71" i="3"/>
  <c r="L70" i="3"/>
  <c r="A70" i="3"/>
  <c r="L69" i="3"/>
  <c r="A69" i="3"/>
  <c r="L68" i="3"/>
  <c r="A68" i="3"/>
  <c r="L67" i="3"/>
  <c r="A67" i="3"/>
  <c r="L66" i="3"/>
  <c r="A66" i="3"/>
  <c r="L65" i="3"/>
  <c r="A65" i="3"/>
  <c r="R56" i="3"/>
  <c r="Q56" i="3"/>
  <c r="O56" i="3"/>
  <c r="N56" i="3"/>
  <c r="P56" i="3" s="1"/>
  <c r="M56" i="3"/>
  <c r="H56" i="3"/>
  <c r="A56" i="3"/>
  <c r="R55" i="3"/>
  <c r="Q55" i="3"/>
  <c r="O55" i="3"/>
  <c r="N55" i="3"/>
  <c r="P55" i="3" s="1"/>
  <c r="M55" i="3"/>
  <c r="H55" i="3"/>
  <c r="A55" i="3"/>
  <c r="R54" i="3"/>
  <c r="Q54" i="3"/>
  <c r="O54" i="3"/>
  <c r="N54" i="3"/>
  <c r="P54" i="3" s="1"/>
  <c r="M54" i="3"/>
  <c r="H54" i="3"/>
  <c r="A54" i="3"/>
  <c r="R53" i="3"/>
  <c r="Q53" i="3"/>
  <c r="O53" i="3"/>
  <c r="N53" i="3"/>
  <c r="P53" i="3" s="1"/>
  <c r="M53" i="3"/>
  <c r="H53" i="3"/>
  <c r="A53" i="3"/>
  <c r="R52" i="3"/>
  <c r="Q52" i="3"/>
  <c r="O52" i="3"/>
  <c r="N52" i="3"/>
  <c r="P52" i="3" s="1"/>
  <c r="M52" i="3"/>
  <c r="H52" i="3"/>
  <c r="A52" i="3"/>
  <c r="R51" i="3"/>
  <c r="Q51" i="3"/>
  <c r="O51" i="3"/>
  <c r="N51" i="3"/>
  <c r="P51" i="3" s="1"/>
  <c r="M51" i="3"/>
  <c r="H51" i="3"/>
  <c r="A51" i="3"/>
  <c r="R50" i="3"/>
  <c r="Q50" i="3"/>
  <c r="O50" i="3"/>
  <c r="N50" i="3"/>
  <c r="P50" i="3" s="1"/>
  <c r="M50" i="3"/>
  <c r="H50" i="3"/>
  <c r="A50" i="3"/>
  <c r="R49" i="3"/>
  <c r="Q49" i="3"/>
  <c r="O49" i="3"/>
  <c r="N49" i="3"/>
  <c r="P49" i="3" s="1"/>
  <c r="M49" i="3"/>
  <c r="H49" i="3"/>
  <c r="A49" i="3"/>
  <c r="R48" i="3"/>
  <c r="Q48" i="3"/>
  <c r="O48" i="3"/>
  <c r="N48" i="3"/>
  <c r="P48" i="3" s="1"/>
  <c r="M48" i="3"/>
  <c r="H48" i="3"/>
  <c r="A48" i="3"/>
  <c r="R47" i="3"/>
  <c r="Q47" i="3"/>
  <c r="O47" i="3"/>
  <c r="N47" i="3"/>
  <c r="P47" i="3" s="1"/>
  <c r="M47" i="3"/>
  <c r="H47" i="3"/>
  <c r="A47" i="3"/>
  <c r="R46" i="3"/>
  <c r="Q46" i="3"/>
  <c r="O46" i="3"/>
  <c r="N46" i="3"/>
  <c r="P46" i="3" s="1"/>
  <c r="M46" i="3"/>
  <c r="H46" i="3"/>
  <c r="A46" i="3"/>
  <c r="R45" i="3"/>
  <c r="Q45" i="3"/>
  <c r="O45" i="3"/>
  <c r="N45" i="3"/>
  <c r="P45" i="3" s="1"/>
  <c r="M45" i="3"/>
  <c r="H45" i="3"/>
  <c r="A45" i="3"/>
  <c r="R44" i="3"/>
  <c r="Q44" i="3"/>
  <c r="O44" i="3"/>
  <c r="N44" i="3"/>
  <c r="P44" i="3" s="1"/>
  <c r="M44" i="3"/>
  <c r="H44" i="3"/>
  <c r="A44" i="3"/>
  <c r="R43" i="3"/>
  <c r="Q43" i="3"/>
  <c r="O43" i="3"/>
  <c r="N43" i="3"/>
  <c r="P43" i="3" s="1"/>
  <c r="M43" i="3"/>
  <c r="H43" i="3"/>
  <c r="A43" i="3"/>
  <c r="R42" i="3"/>
  <c r="Q42" i="3"/>
  <c r="O42" i="3"/>
  <c r="N42" i="3"/>
  <c r="P42" i="3" s="1"/>
  <c r="M42" i="3"/>
  <c r="H42" i="3"/>
  <c r="A42" i="3"/>
  <c r="R41" i="3"/>
  <c r="Q41" i="3"/>
  <c r="O41" i="3"/>
  <c r="N41" i="3"/>
  <c r="P41" i="3" s="1"/>
  <c r="M41" i="3"/>
  <c r="H41" i="3"/>
  <c r="A41" i="3"/>
  <c r="Q40" i="3"/>
  <c r="N40" i="3"/>
  <c r="A18" i="4" s="1"/>
  <c r="M40" i="3"/>
  <c r="H40" i="3"/>
  <c r="A40" i="3"/>
  <c r="R39" i="3"/>
  <c r="Q39" i="3"/>
  <c r="O39" i="3"/>
  <c r="N39" i="3"/>
  <c r="M39" i="3"/>
  <c r="H39" i="3"/>
  <c r="A39" i="3"/>
  <c r="I33" i="3"/>
  <c r="A33" i="3"/>
  <c r="I32" i="3"/>
  <c r="A32" i="3"/>
  <c r="I31" i="3"/>
  <c r="A31" i="3"/>
  <c r="I30" i="3"/>
  <c r="A30" i="3"/>
  <c r="I29" i="3"/>
  <c r="A29" i="3"/>
  <c r="I28" i="3"/>
  <c r="A28" i="3"/>
  <c r="I27" i="3"/>
  <c r="A27" i="3"/>
  <c r="I26" i="3"/>
  <c r="A26" i="3"/>
  <c r="I25" i="3"/>
  <c r="A25" i="3"/>
  <c r="I24" i="3"/>
  <c r="A24" i="3"/>
  <c r="I23" i="3"/>
  <c r="A23" i="3"/>
  <c r="G17" i="3"/>
  <c r="C17" i="3"/>
  <c r="A17" i="3"/>
  <c r="B13" i="3"/>
  <c r="B12" i="3"/>
  <c r="B10" i="3"/>
  <c r="B9" i="3"/>
  <c r="B8" i="3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K26" i="5"/>
  <c r="H26" i="5"/>
  <c r="K18" i="5"/>
  <c r="L18" i="5" s="1"/>
  <c r="K17" i="5"/>
  <c r="L17" i="5" s="1"/>
  <c r="K16" i="5"/>
  <c r="L16" i="5" s="1"/>
  <c r="K15" i="5"/>
  <c r="L15" i="5" s="1"/>
  <c r="K14" i="5"/>
  <c r="L14" i="5" s="1"/>
  <c r="K13" i="5"/>
  <c r="L13" i="5" s="1"/>
  <c r="K12" i="5"/>
  <c r="L12" i="5" s="1"/>
  <c r="K11" i="5"/>
  <c r="L11" i="5" s="1"/>
  <c r="K10" i="5"/>
  <c r="B28" i="1"/>
  <c r="B27" i="1"/>
  <c r="B25" i="1"/>
  <c r="B24" i="1"/>
  <c r="B11" i="3" l="1"/>
  <c r="D7" i="3" s="1"/>
  <c r="K25" i="5"/>
  <c r="K27" i="5"/>
  <c r="B9" i="4"/>
  <c r="B27" i="4"/>
  <c r="B26" i="1"/>
  <c r="F23" i="1" s="1"/>
  <c r="K28" i="5"/>
  <c r="P40" i="3"/>
  <c r="L10" i="5"/>
  <c r="O40" i="3"/>
  <c r="P39" i="3"/>
  <c r="A33" i="1" l="1"/>
  <c r="R40" i="3"/>
  <c r="E17" i="3"/>
  <c r="B7" i="4"/>
  <c r="G17" i="1"/>
  <c r="B28" i="4"/>
  <c r="G18" i="4"/>
  <c r="D18" i="4"/>
  <c r="A34" i="4"/>
  <c r="I6" i="4" l="1"/>
  <c r="G12" i="4"/>
  <c r="H5" i="1" s="1"/>
  <c r="D20" i="1" l="1"/>
  <c r="J16" i="1"/>
  <c r="A20" i="1"/>
  <c r="D16" i="1"/>
  <c r="J17" i="1"/>
  <c r="D17" i="1"/>
  <c r="A17" i="1"/>
  <c r="A16" i="1"/>
  <c r="J20" i="1"/>
</calcChain>
</file>

<file path=xl/sharedStrings.xml><?xml version="1.0" encoding="utf-8"?>
<sst xmlns="http://schemas.openxmlformats.org/spreadsheetml/2006/main" count="305" uniqueCount="237">
  <si>
    <t>LA RUTA DEL BUEN FIN / PREMIUM · SERVICIOS</t>
  </si>
  <si>
    <t>Mi Buen Fin · Tu campaña, bajo control.</t>
  </si>
  <si>
    <t>CONECTA TU PROMOCIÓN APROBADA</t>
  </si>
  <si>
    <t>DATOS QUE VIAJAN DESDE TU FICHA</t>
  </si>
  <si>
    <t>ESTADO DE CAMPAÑA</t>
  </si>
  <si>
    <t>Código de promoción *</t>
  </si>
  <si>
    <t>BF-2026-A7K2</t>
  </si>
  <si>
    <t>Qué incluye</t>
  </si>
  <si>
    <t>Producto + accesorio</t>
  </si>
  <si>
    <t>Nombre *</t>
  </si>
  <si>
    <t>Paquete Buen Fin</t>
  </si>
  <si>
    <t>Qué no incluye</t>
  </si>
  <si>
    <t>Envío especial / adicionales</t>
  </si>
  <si>
    <t>Tipo *</t>
  </si>
  <si>
    <t>Servicio</t>
  </si>
  <si>
    <t>Formas de pago</t>
  </si>
  <si>
    <t>Tarjeta / transferencia</t>
  </si>
  <si>
    <t>Inicio *</t>
  </si>
  <si>
    <t>Reservación / atención</t>
  </si>
  <si>
    <t>Reservación con horario confirmado</t>
  </si>
  <si>
    <t>La campaña sólo pasa a LISTA PARA COMENZAR cuando la promoción está aprobada, el precio fue revisado, la disponibilidad fue confirmada, el equipo está informado y no quedan pendientes críticos.</t>
  </si>
  <si>
    <t>Cierre *</t>
  </si>
  <si>
    <t>Condiciones</t>
  </si>
  <si>
    <t>Sujeto a disponibilidad. No acumulable.</t>
  </si>
  <si>
    <t>Precio promocional</t>
  </si>
  <si>
    <t>Precio revisado *</t>
  </si>
  <si>
    <t>Sí</t>
  </si>
  <si>
    <t>Costo variable por servicio</t>
  </si>
  <si>
    <t>Equipo informado *</t>
  </si>
  <si>
    <t>Promoción aprobada *</t>
  </si>
  <si>
    <t>LO QUE IMPORTA HOY</t>
  </si>
  <si>
    <t>POR COBRAR</t>
  </si>
  <si>
    <t>saldo pendiente</t>
  </si>
  <si>
    <t>COMIENZA · PUERTA DE ACTIVACIÓN</t>
  </si>
  <si>
    <t>Criterio</t>
  </si>
  <si>
    <t>Estado</t>
  </si>
  <si>
    <t>Qué significa</t>
  </si>
  <si>
    <t>Qué hacer si falta</t>
  </si>
  <si>
    <t>Promoción aprobada</t>
  </si>
  <si>
    <t>La ficha ya tiene una versión autorizada.</t>
  </si>
  <si>
    <t>Aprueba la ficha antes de operar.</t>
  </si>
  <si>
    <t>Precio revisado</t>
  </si>
  <si>
    <t>El precio pasó por la calculadora.</t>
  </si>
  <si>
    <t>Regresa a Calcula si el precio cambió.</t>
  </si>
  <si>
    <t>Disponibilidad confirmada</t>
  </si>
  <si>
    <t>Ya sabes cuánto puedes vender.</t>
  </si>
  <si>
    <t>Confirma inventario o capacidad.</t>
  </si>
  <si>
    <t>Equipo informado</t>
  </si>
  <si>
    <t>Todos conocen la versión final.</t>
  </si>
  <si>
    <t>Comparte la ficha aprobada.</t>
  </si>
  <si>
    <t>Pendientes críticos cerrados</t>
  </si>
  <si>
    <t>No queda nada crítico abierto.</t>
  </si>
  <si>
    <t>Cierra los pendientes de Alístate.</t>
  </si>
  <si>
    <t>Confirmo que inicio la campaña</t>
  </si>
  <si>
    <t>No</t>
  </si>
  <si>
    <t>CONTINUAR DONDE ME QUEDÉ</t>
  </si>
  <si>
    <t>LA RUTA</t>
  </si>
  <si>
    <t>1 · ALÍSTATE
Confirma capacidad y cierra pendientes.</t>
  </si>
  <si>
    <t>2 · COMIENZA
Activa sólo cuando todo esté listo.</t>
  </si>
  <si>
    <t>3 · CONTROLA
Clientes, pedidos, atención e incidencias.</t>
  </si>
  <si>
    <t>4 · CIERRA
Concilia, mide y decide qué mejorar.</t>
  </si>
  <si>
    <t>1 · ALÍSTATE</t>
  </si>
  <si>
    <t>Confirma cupos, agenda y recursos disponibles antes de publicar.</t>
  </si>
  <si>
    <t>Disponibilidad confirmada *</t>
  </si>
  <si>
    <t>Tipo de negocio</t>
  </si>
  <si>
    <t>Mínimo alerta de cupos</t>
  </si>
  <si>
    <t>CAPACIDAD DE SERVICIOS · CITAS Y CUPOS</t>
  </si>
  <si>
    <t>Controla por fecha y horario. Captura cupos totales, reservados y confirmados; Cupos disponibles y Estado se calculan automáticamente.</t>
  </si>
  <si>
    <t>Fecha</t>
  </si>
  <si>
    <t>Horario</t>
  </si>
  <si>
    <t>Recurso / personal</t>
  </si>
  <si>
    <t>Cupos totales</t>
  </si>
  <si>
    <t>Reservados</t>
  </si>
  <si>
    <t>Confirmados</t>
  </si>
  <si>
    <t>Duración min</t>
  </si>
  <si>
    <t>Tiempo entre citas</t>
  </si>
  <si>
    <t>Responsable</t>
  </si>
  <si>
    <t>Cupos disponibles</t>
  </si>
  <si>
    <t>Servicio ejemplo</t>
  </si>
  <si>
    <t>10:00</t>
  </si>
  <si>
    <t>Especialista 1</t>
  </si>
  <si>
    <t>Agenda</t>
  </si>
  <si>
    <t>QUÉ ME FALTA PARA ESTAR LISTO</t>
  </si>
  <si>
    <t>LECTURA RÁPIDA</t>
  </si>
  <si>
    <t>Ya vienen precargados pendientes típicos. Actualiza responsable, fecha, estado y evidencia; agrega sólo lo que realmente sea importante.</t>
  </si>
  <si>
    <t>Indicador</t>
  </si>
  <si>
    <t>Valor</t>
  </si>
  <si>
    <t>Actividad</t>
  </si>
  <si>
    <t>Etapa</t>
  </si>
  <si>
    <t>Fecha límite</t>
  </si>
  <si>
    <t>Dependencia</t>
  </si>
  <si>
    <t>Evidencia</t>
  </si>
  <si>
    <t>Alerta</t>
  </si>
  <si>
    <t>Confirmar disponibilidad real</t>
  </si>
  <si>
    <t>Antes</t>
  </si>
  <si>
    <t>Encargado</t>
  </si>
  <si>
    <t>Terminado</t>
  </si>
  <si>
    <t>Agenda/capacidad actualizada</t>
  </si>
  <si>
    <t>Pendientes abiertos</t>
  </si>
  <si>
    <t>Preparar publicidad final</t>
  </si>
  <si>
    <t>Marketing</t>
  </si>
  <si>
    <t>En curso</t>
  </si>
  <si>
    <t>Ficha aprobada</t>
  </si>
  <si>
    <t>Bloqueados</t>
  </si>
  <si>
    <t>Explicar promoción al equipo</t>
  </si>
  <si>
    <t>Dueño / encargado</t>
  </si>
  <si>
    <t>Pendiente</t>
  </si>
  <si>
    <t>Ficha final</t>
  </si>
  <si>
    <t>Vencidos</t>
  </si>
  <si>
    <t>2 · CONTROLA</t>
  </si>
  <si>
    <t>Clientes, cobros, agenda, servicios e incidencias en una sola vista operativa.</t>
  </si>
  <si>
    <t>ATENCIÓN · RESPONDE CON LA MISMA INFORMACIÓN</t>
  </si>
  <si>
    <t>¿QUIÉN DEBE RESOLVER?</t>
  </si>
  <si>
    <t>Los datos comerciales vienen de Mi Buen Fin / Ficha aprobada. Aquí el equipo consulta; no vuelve a capturar precio ni condiciones.</t>
  </si>
  <si>
    <t>Situación</t>
  </si>
  <si>
    <t>Atención</t>
  </si>
  <si>
    <t>Dirección / especialista</t>
  </si>
  <si>
    <t>Dato</t>
  </si>
  <si>
    <t>Duda sobre promoción</t>
  </si>
  <si>
    <t>Excepción de precio/condición</t>
  </si>
  <si>
    <t>Si excede política</t>
  </si>
  <si>
    <t>Precio</t>
  </si>
  <si>
    <t>Tema legal / reputacional</t>
  </si>
  <si>
    <t>Disponibilidad</t>
  </si>
  <si>
    <t>CLIENTES ACTIVOS</t>
  </si>
  <si>
    <t>SERVICIOS</t>
  </si>
  <si>
    <t>INCIDENCIAS ABIERTAS</t>
  </si>
  <si>
    <t>MIS CLIENTES</t>
  </si>
  <si>
    <t>Una fila por interesado. El ID se genera sólo como referencia visual; si eliminas o reordenas filas puede renumerarse sin afectar Pedidos.</t>
  </si>
  <si>
    <t>ID (ref.)</t>
  </si>
  <si>
    <t>Fecha de contacto</t>
  </si>
  <si>
    <t>Canal</t>
  </si>
  <si>
    <t>Cliente / contacto</t>
  </si>
  <si>
    <t>Próxima acción</t>
  </si>
  <si>
    <t>Fecha de seguimiento</t>
  </si>
  <si>
    <t>WhatsApp</t>
  </si>
  <si>
    <t>Cliente ejemplo1</t>
  </si>
  <si>
    <t>Convertido</t>
  </si>
  <si>
    <t>Ventas</t>
  </si>
  <si>
    <t>Confirmar entrega</t>
  </si>
  <si>
    <t>Tienda física</t>
  </si>
  <si>
    <t>Cliente ejemplo2</t>
  </si>
  <si>
    <t>Contactado</t>
  </si>
  <si>
    <t>Facebook</t>
  </si>
  <si>
    <t>Cliente ejemplo3</t>
  </si>
  <si>
    <t>Propuesta enviada</t>
  </si>
  <si>
    <t>Página web</t>
  </si>
  <si>
    <t>Cliente ejemplo4</t>
  </si>
  <si>
    <t>VENTAS, COBROS Y SERVICIOS</t>
  </si>
  <si>
    <t>ID pedido (ref.)</t>
  </si>
  <si>
    <t>Cantidad / sesiones</t>
  </si>
  <si>
    <t>Importe venta</t>
  </si>
  <si>
    <t>Cobrado</t>
  </si>
  <si>
    <t>Estado pago</t>
  </si>
  <si>
    <t>Estado servicio</t>
  </si>
  <si>
    <t>Fecha programada</t>
  </si>
  <si>
    <t>Fecha realizada</t>
  </si>
  <si>
    <t>Cancelado / devuelto</t>
  </si>
  <si>
    <t>Costo variable total</t>
  </si>
  <si>
    <t>Ventas netas</t>
  </si>
  <si>
    <t>Saldo pendiente</t>
  </si>
  <si>
    <t>Contribución</t>
  </si>
  <si>
    <t>Servicio a tiempo</t>
  </si>
  <si>
    <t>Cliente ejemplo</t>
  </si>
  <si>
    <t>Realizado</t>
  </si>
  <si>
    <t>Servicio 2</t>
  </si>
  <si>
    <t>Confirmado</t>
  </si>
  <si>
    <t>INCIDENCIAS</t>
  </si>
  <si>
    <t>Registra sólo problemas que requieren seguimiento. El folio es sólo una referencia visual; la incidencia se relaciona con Cliente / contacto.</t>
  </si>
  <si>
    <t>Folio (ref.)</t>
  </si>
  <si>
    <t>Problema</t>
  </si>
  <si>
    <t>Prioridad</t>
  </si>
  <si>
    <t>Acción acordada</t>
  </si>
  <si>
    <t>Fecha compromiso</t>
  </si>
  <si>
    <t>Nivel decisión</t>
  </si>
  <si>
    <t>Cliente pidió confirmar horario</t>
  </si>
  <si>
    <t>Baja</t>
  </si>
  <si>
    <t>Confirmar horario con ficha y pedido</t>
  </si>
  <si>
    <t>Resuelta</t>
  </si>
  <si>
    <t>Mensaje de confirmación</t>
  </si>
  <si>
    <t>3 · CIERRA</t>
  </si>
  <si>
    <t>Primero concilia. Después interpreta. Termina con una decisión clara para la siguiente campaña.</t>
  </si>
  <si>
    <t>A. CONCILIA ANTES DE INTERPRETAR</t>
  </si>
  <si>
    <t>Qué revisa</t>
  </si>
  <si>
    <t>Acción si falta</t>
  </si>
  <si>
    <t>Confirmación manual</t>
  </si>
  <si>
    <t>Saldos pendientes</t>
  </si>
  <si>
    <t>No quedan cobros abiertos.</t>
  </si>
  <si>
    <t>Cierra o documenta los saldos pendientes.</t>
  </si>
  <si>
    <t>Cancelaciones / devoluciones completas</t>
  </si>
  <si>
    <t>Servicios pendientes / atrasados</t>
  </si>
  <si>
    <t>Todos los servicios están realizados o cancelados.</t>
  </si>
  <si>
    <t>Cierra servicios pendientes antes del análisis final.</t>
  </si>
  <si>
    <t>Publicidad capturada</t>
  </si>
  <si>
    <t>Costos variables capturados</t>
  </si>
  <si>
    <t>Cada pedido válido tiene costo variable.</t>
  </si>
  <si>
    <t>Completa los costos para calcular contribución.</t>
  </si>
  <si>
    <t>Incidencias cerradas</t>
  </si>
  <si>
    <t>No quedan problemas abiertos.</t>
  </si>
  <si>
    <t>Resuelve o documenta el cierre.</t>
  </si>
  <si>
    <t>Confirmo cierre de campaña</t>
  </si>
  <si>
    <t>Cierre permitido</t>
  </si>
  <si>
    <t>B. RESULTADOS DE LA CAMPAÑA</t>
  </si>
  <si>
    <t>Gasto publicitario *</t>
  </si>
  <si>
    <t>Nota</t>
  </si>
  <si>
    <t>Captura sólo el gasto atribuible a esta campaña.</t>
  </si>
  <si>
    <t>VENTAS NETAS</t>
  </si>
  <si>
    <t>CONTRIBUCIÓN</t>
  </si>
  <si>
    <t>RESULTADO DESPUÉS DE PUBLICIDAD</t>
  </si>
  <si>
    <t>CONVERSIÓN</t>
  </si>
  <si>
    <t>SERVICIOS A TIEMPO</t>
  </si>
  <si>
    <t>INDICADORES CLAVE</t>
  </si>
  <si>
    <t>DE DÓNDE LLEGARON</t>
  </si>
  <si>
    <t>Lectura</t>
  </si>
  <si>
    <t>Prospectos</t>
  </si>
  <si>
    <t>Compradores</t>
  </si>
  <si>
    <t>Interesados registrados</t>
  </si>
  <si>
    <t>Prospectos convertidos</t>
  </si>
  <si>
    <t>Pedidos válidos</t>
  </si>
  <si>
    <t>Pedidos con venta neta</t>
  </si>
  <si>
    <t>Instagram</t>
  </si>
  <si>
    <t>Ticket promedio</t>
  </si>
  <si>
    <t>Venta neta promedio</t>
  </si>
  <si>
    <t>Por cobrar</t>
  </si>
  <si>
    <t>Saldo todavía pendiente</t>
  </si>
  <si>
    <t>Incidencias abiertas</t>
  </si>
  <si>
    <t>Problemas por resolver</t>
  </si>
  <si>
    <t>Marketplace</t>
  </si>
  <si>
    <t>Incidencias resueltas</t>
  </si>
  <si>
    <t>Casos resueltos/cerrados</t>
  </si>
  <si>
    <t>Otro</t>
  </si>
  <si>
    <t>C. MEJORA · QUÉ HARÁS DISTINTO</t>
  </si>
  <si>
    <t>Qué funcionó</t>
  </si>
  <si>
    <t>Qué falló</t>
  </si>
  <si>
    <t>Qué cambiaremos</t>
  </si>
  <si>
    <t>Nota: “Resultado después de publicidad” no equivale necesariamente a utilidad neta. Pueden faltar gastos fijos, impuestos y otros costos del negocio.</t>
  </si>
  <si>
    <t>Captura sólo lo azul bajo. El ID es sólo una referencia visual. Relaciona la venta con Cliente / contacto; estado de pago, venta neta, saldo, costo variable total, contribución, cumplimiento y alertas se calculan automáticamente.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</si>
</sst>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#,##0"/>
    <numFmt numFmtId="166" formatCode="0.0%"/>
  </numFmts>
  <fonts count="25">
    <font>
      <sz val="11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b/>
      <sz val="20"/>
      <color rgb="FFFFFFFF"/>
      <name val="Carlito"/>
    </font>
    <font>
      <i/>
      <sz val="10"/>
      <color rgb="FF10214B"/>
      <name val="Carlito"/>
    </font>
    <font>
      <b/>
      <sz val="11"/>
      <color rgb="FF10214B"/>
      <name val="Carlito"/>
    </font>
    <font>
      <b/>
      <sz val="22"/>
      <color rgb="FF10214B"/>
      <name val="Carlito"/>
    </font>
    <font>
      <sz val="10"/>
      <color rgb="FF10214B"/>
      <name val="Carlito"/>
    </font>
    <font>
      <b/>
      <sz val="24"/>
      <color rgb="FF10214B"/>
      <name val="Carlito"/>
    </font>
    <font>
      <sz val="9"/>
      <color rgb="FF64748B"/>
      <name val="Carlito"/>
    </font>
    <font>
      <b/>
      <sz val="13"/>
      <color rgb="FF10214B"/>
      <name val="Carlito"/>
    </font>
    <font>
      <b/>
      <sz val="14"/>
      <color rgb="FF10214B"/>
      <name val="Carlito"/>
    </font>
    <font>
      <b/>
      <sz val="19"/>
      <color rgb="FFFFFFFF"/>
      <name val="Carlito"/>
    </font>
    <font>
      <i/>
      <sz val="11"/>
      <color rgb="FF10214B"/>
      <name val="Carlito"/>
    </font>
    <font>
      <b/>
      <sz val="12"/>
      <color rgb="FF10214B"/>
      <name val="Carlito"/>
    </font>
    <font>
      <sz val="11"/>
      <color rgb="FF10214B"/>
      <name val="Carlito"/>
    </font>
    <font>
      <i/>
      <sz val="11"/>
      <color rgb="FF64748B"/>
      <name val="Carlito"/>
    </font>
    <font>
      <b/>
      <sz val="9"/>
      <color rgb="FFFFFFFF"/>
      <name val="Carlito"/>
    </font>
    <font>
      <i/>
      <sz val="10"/>
      <color rgb="FF5B6F92"/>
      <name val="Carlito"/>
    </font>
    <font>
      <b/>
      <sz val="20"/>
      <color rgb="FF10214B"/>
      <name val="Carlito"/>
    </font>
    <font>
      <sz val="10"/>
      <color rgb="FF10214B"/>
      <name val="Carlito"/>
    </font>
    <font>
      <sz val="9"/>
      <color rgb="FF5B6F92"/>
      <name val="Carlito"/>
    </font>
    <font>
      <b/>
      <sz val="10"/>
      <color rgb="FF10214B"/>
      <name val="Carlito"/>
    </font>
    <font>
      <i/>
      <sz val="11"/>
      <color rgb="FF5B6F92"/>
      <name val="Carlito"/>
    </font>
    <font>
      <b/>
      <sz val="17"/>
      <color rgb="FF10214B"/>
      <name val="Carlito"/>
    </font>
  </fonts>
  <fills count="31">
    <fill>
      <patternFill patternType="none"/>
    </fill>
    <fill>
      <patternFill patternType="gray125"/>
    </fill>
    <fill>
      <patternFill patternType="solid">
        <fgColor rgb="FF12245A"/>
      </patternFill>
    </fill>
    <fill>
      <patternFill patternType="solid">
        <fgColor rgb="FFFFF3C4"/>
      </patternFill>
    </fill>
    <fill>
      <patternFill patternType="solid">
        <fgColor rgb="FFEEF2F8"/>
      </patternFill>
    </fill>
    <fill>
      <patternFill patternType="solid">
        <fgColor rgb="FF172554"/>
      </patternFill>
    </fill>
    <fill>
      <patternFill patternType="solid">
        <fgColor rgb="FFDBEAFE"/>
      </patternFill>
    </fill>
    <fill>
      <patternFill patternType="solid">
        <fgColor rgb="FF2563EB"/>
      </patternFill>
    </fill>
    <fill>
      <patternFill patternType="solid">
        <fgColor rgb="FF7C3AED"/>
      </patternFill>
    </fill>
    <fill>
      <patternFill patternType="solid">
        <fgColor rgb="FFCCFBF1"/>
      </patternFill>
    </fill>
    <fill>
      <patternFill patternType="solid">
        <fgColor rgb="FFFEF3C7"/>
      </patternFill>
    </fill>
    <fill>
      <patternFill patternType="solid">
        <fgColor rgb="FFEDE9FE"/>
      </patternFill>
    </fill>
    <fill>
      <patternFill patternType="solid">
        <fgColor rgb="FF06B6D4"/>
      </patternFill>
    </fill>
    <fill>
      <patternFill patternType="solid">
        <fgColor rgb="FFF59E0B"/>
      </patternFill>
    </fill>
    <fill>
      <patternFill patternType="solid">
        <fgColor rgb="FF0F9F8F"/>
      </patternFill>
    </fill>
    <fill>
      <patternFill patternType="solid">
        <fgColor rgb="FFEF4444"/>
      </patternFill>
    </fill>
    <fill>
      <patternFill patternType="solid">
        <fgColor rgb="FFFEE2E2"/>
      </patternFill>
    </fill>
    <fill>
      <patternFill patternType="solid">
        <fgColor rgb="FFF8FAFC"/>
      </patternFill>
    </fill>
    <fill>
      <patternFill patternType="solid">
        <fgColor rgb="FFCFFAFE"/>
      </patternFill>
    </fill>
    <fill>
      <patternFill patternType="solid">
        <fgColor rgb="FFDB2777"/>
      </patternFill>
    </fill>
    <fill>
      <patternFill patternType="solid">
        <fgColor rgb="FFFCE7F3"/>
      </patternFill>
    </fill>
    <fill>
      <patternFill patternType="solid">
        <fgColor rgb="FFDCFCE7"/>
      </patternFill>
    </fill>
    <fill>
      <patternFill patternType="solid">
        <fgColor rgb="FF0B1F4B"/>
      </patternFill>
    </fill>
    <fill>
      <patternFill patternType="solid">
        <fgColor rgb="FFEFF6FF"/>
      </patternFill>
    </fill>
    <fill>
      <patternFill patternType="solid">
        <fgColor rgb="FF1D4ED8"/>
      </patternFill>
    </fill>
    <fill>
      <patternFill patternType="solid">
        <fgColor rgb="FF102A66"/>
      </patternFill>
    </fill>
    <fill>
      <patternFill patternType="solid">
        <fgColor rgb="FFDBEAFE"/>
      </patternFill>
    </fill>
    <fill>
      <patternFill patternType="solid">
        <fgColor rgb="FFF1F6FF"/>
      </patternFill>
    </fill>
    <fill>
      <patternFill patternType="solid">
        <fgColor rgb="FF2563EB"/>
      </patternFill>
    </fill>
    <fill>
      <patternFill patternType="solid">
        <fgColor rgb="FFF8FBFF"/>
      </patternFill>
    </fill>
    <fill>
      <patternFill patternType="solid">
        <fgColor rgb="FFE4EEFF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top" wrapText="1"/>
    </xf>
    <xf numFmtId="14" fontId="0" fillId="3" borderId="1" xfId="0" applyNumberFormat="1" applyFill="1" applyBorder="1" applyAlignment="1">
      <alignment vertical="top" wrapText="1"/>
    </xf>
    <xf numFmtId="14" fontId="0" fillId="3" borderId="0" xfId="0" applyNumberFormat="1" applyFill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5" fillId="26" borderId="0" xfId="0" applyFont="1" applyFill="1" applyAlignment="1">
      <alignment wrapText="1"/>
    </xf>
    <xf numFmtId="0" fontId="15" fillId="27" borderId="0" xfId="0" applyFont="1" applyFill="1"/>
    <xf numFmtId="14" fontId="15" fillId="27" borderId="0" xfId="0" applyNumberFormat="1" applyFont="1" applyFill="1"/>
    <xf numFmtId="164" fontId="15" fillId="27" borderId="0" xfId="0" applyNumberFormat="1" applyFont="1" applyFill="1"/>
    <xf numFmtId="0" fontId="1" fillId="28" borderId="0" xfId="0" applyFont="1" applyFill="1" applyAlignment="1">
      <alignment vertical="center" wrapText="1"/>
    </xf>
    <xf numFmtId="0" fontId="2" fillId="28" borderId="73" xfId="0" applyFont="1" applyFill="1" applyBorder="1" applyAlignment="1">
      <alignment horizontal="center" vertical="center" wrapText="1"/>
    </xf>
    <xf numFmtId="0" fontId="2" fillId="28" borderId="74" xfId="0" applyFont="1" applyFill="1" applyBorder="1" applyAlignment="1">
      <alignment horizontal="center" vertical="center" wrapText="1"/>
    </xf>
    <xf numFmtId="0" fontId="2" fillId="28" borderId="75" xfId="0" applyFont="1" applyFill="1" applyBorder="1" applyAlignment="1">
      <alignment horizontal="center" vertical="center" wrapText="1"/>
    </xf>
    <xf numFmtId="0" fontId="5" fillId="26" borderId="0" xfId="0" applyFont="1" applyFill="1" applyAlignment="1">
      <alignment vertical="top" wrapText="1"/>
    </xf>
    <xf numFmtId="0" fontId="15" fillId="30" borderId="0" xfId="0" applyFont="1" applyFill="1" applyAlignment="1">
      <alignment vertical="top" wrapText="1"/>
    </xf>
    <xf numFmtId="0" fontId="0" fillId="29" borderId="0" xfId="0" applyFill="1" applyAlignment="1">
      <alignment vertical="top" wrapText="1"/>
    </xf>
    <xf numFmtId="20" fontId="15" fillId="27" borderId="0" xfId="0" applyNumberFormat="1" applyFont="1" applyFill="1"/>
    <xf numFmtId="1" fontId="15" fillId="27" borderId="0" xfId="0" applyNumberFormat="1" applyFont="1" applyFill="1"/>
    <xf numFmtId="1" fontId="15" fillId="30" borderId="0" xfId="0" applyNumberFormat="1" applyFont="1" applyFill="1"/>
    <xf numFmtId="0" fontId="15" fillId="30" borderId="0" xfId="0" applyFont="1" applyFill="1"/>
    <xf numFmtId="0" fontId="5" fillId="30" borderId="0" xfId="0" applyFont="1" applyFill="1" applyAlignment="1">
      <alignment horizontal="center"/>
    </xf>
    <xf numFmtId="0" fontId="0" fillId="23" borderId="0" xfId="0" applyFill="1" applyAlignment="1">
      <alignment vertical="top" wrapText="1"/>
    </xf>
    <xf numFmtId="14" fontId="2" fillId="28" borderId="74" xfId="0" applyNumberFormat="1" applyFont="1" applyFill="1" applyBorder="1" applyAlignment="1">
      <alignment horizontal="center" vertical="center" wrapText="1"/>
    </xf>
    <xf numFmtId="14" fontId="15" fillId="27" borderId="0" xfId="0" applyNumberFormat="1" applyFont="1" applyFill="1" applyAlignment="1">
      <alignment vertical="top" wrapText="1"/>
    </xf>
    <xf numFmtId="0" fontId="15" fillId="27" borderId="0" xfId="0" applyFont="1" applyFill="1" applyAlignment="1">
      <alignment vertical="top" wrapText="1"/>
    </xf>
    <xf numFmtId="164" fontId="15" fillId="27" borderId="0" xfId="0" applyNumberFormat="1" applyFont="1" applyFill="1" applyAlignment="1">
      <alignment vertical="top" wrapText="1"/>
    </xf>
    <xf numFmtId="164" fontId="15" fillId="30" borderId="0" xfId="0" applyNumberFormat="1" applyFont="1" applyFill="1" applyAlignment="1">
      <alignment vertical="top" wrapText="1"/>
    </xf>
    <xf numFmtId="0" fontId="23" fillId="29" borderId="0" xfId="0" applyFont="1" applyFill="1" applyAlignment="1">
      <alignment wrapText="1"/>
    </xf>
    <xf numFmtId="1" fontId="0" fillId="29" borderId="0" xfId="0" applyNumberFormat="1" applyFill="1" applyAlignment="1">
      <alignment vertical="top" wrapText="1"/>
    </xf>
    <xf numFmtId="164" fontId="0" fillId="29" borderId="0" xfId="0" applyNumberFormat="1" applyFill="1" applyAlignment="1">
      <alignment vertical="top" wrapText="1"/>
    </xf>
    <xf numFmtId="0" fontId="5" fillId="23" borderId="0" xfId="0" applyFont="1" applyFill="1" applyAlignment="1">
      <alignment vertical="center" wrapText="1"/>
    </xf>
    <xf numFmtId="0" fontId="5" fillId="23" borderId="63" xfId="0" applyFont="1" applyFill="1" applyBorder="1" applyAlignment="1">
      <alignment vertical="center" wrapText="1"/>
    </xf>
    <xf numFmtId="0" fontId="5" fillId="23" borderId="68" xfId="0" applyFont="1" applyFill="1" applyBorder="1" applyAlignment="1">
      <alignment vertical="center" wrapText="1"/>
    </xf>
    <xf numFmtId="0" fontId="5" fillId="23" borderId="64" xfId="0" applyFont="1" applyFill="1" applyBorder="1" applyAlignment="1">
      <alignment vertical="center" wrapText="1"/>
    </xf>
    <xf numFmtId="0" fontId="5" fillId="23" borderId="66" xfId="0" applyFont="1" applyFill="1" applyBorder="1" applyAlignment="1">
      <alignment vertical="center" wrapText="1"/>
    </xf>
    <xf numFmtId="0" fontId="5" fillId="23" borderId="69" xfId="0" applyFont="1" applyFill="1" applyBorder="1" applyAlignment="1">
      <alignment vertical="center" wrapText="1"/>
    </xf>
    <xf numFmtId="0" fontId="15" fillId="27" borderId="0" xfId="0" applyFont="1" applyFill="1" applyAlignment="1">
      <alignment wrapText="1"/>
    </xf>
    <xf numFmtId="0" fontId="15" fillId="27" borderId="0" xfId="0" applyFont="1" applyFill="1"/>
    <xf numFmtId="0" fontId="23" fillId="29" borderId="0" xfId="0" applyFont="1" applyFill="1" applyAlignment="1">
      <alignment vertical="center" wrapText="1"/>
    </xf>
    <xf numFmtId="0" fontId="16" fillId="17" borderId="0" xfId="0" applyFont="1" applyFill="1" applyAlignment="1">
      <alignment vertical="center" wrapText="1"/>
    </xf>
    <xf numFmtId="0" fontId="1" fillId="28" borderId="0" xfId="0" applyFont="1" applyFill="1" applyAlignment="1">
      <alignment vertical="center" wrapText="1"/>
    </xf>
    <xf numFmtId="0" fontId="5" fillId="23" borderId="62" xfId="0" applyFont="1" applyFill="1" applyBorder="1" applyAlignment="1">
      <alignment vertical="center" wrapText="1"/>
    </xf>
    <xf numFmtId="0" fontId="5" fillId="23" borderId="63" xfId="0" applyFont="1" applyFill="1" applyBorder="1" applyAlignment="1">
      <alignment vertical="center" wrapText="1"/>
    </xf>
    <xf numFmtId="0" fontId="5" fillId="23" borderId="65" xfId="0" applyFont="1" applyFill="1" applyBorder="1" applyAlignment="1">
      <alignment vertical="center" wrapText="1"/>
    </xf>
    <xf numFmtId="0" fontId="5" fillId="23" borderId="0" xfId="0" applyFont="1" applyFill="1" applyAlignment="1">
      <alignment vertical="center" wrapText="1"/>
    </xf>
    <xf numFmtId="0" fontId="5" fillId="23" borderId="67" xfId="0" applyFont="1" applyFill="1" applyBorder="1" applyAlignment="1">
      <alignment vertical="center" wrapText="1"/>
    </xf>
    <xf numFmtId="0" fontId="5" fillId="23" borderId="68" xfId="0" applyFont="1" applyFill="1" applyBorder="1" applyAlignment="1">
      <alignment vertical="center" wrapText="1"/>
    </xf>
    <xf numFmtId="0" fontId="14" fillId="18" borderId="40" xfId="0" applyFont="1" applyFill="1" applyBorder="1" applyAlignment="1">
      <alignment vertical="center" wrapText="1"/>
    </xf>
    <xf numFmtId="0" fontId="14" fillId="18" borderId="41" xfId="0" applyFont="1" applyFill="1" applyBorder="1" applyAlignment="1">
      <alignment vertical="center" wrapText="1"/>
    </xf>
    <xf numFmtId="0" fontId="14" fillId="18" borderId="42" xfId="0" applyFont="1" applyFill="1" applyBorder="1" applyAlignment="1">
      <alignment vertical="center" wrapText="1"/>
    </xf>
    <xf numFmtId="0" fontId="1" fillId="25" borderId="0" xfId="0" applyFont="1" applyFill="1" applyAlignment="1">
      <alignment vertical="center" wrapText="1"/>
    </xf>
    <xf numFmtId="0" fontId="17" fillId="25" borderId="0" xfId="0" applyFont="1" applyFill="1" applyAlignment="1">
      <alignment horizontal="center" vertical="center" wrapText="1"/>
    </xf>
    <xf numFmtId="166" fontId="19" fillId="26" borderId="62" xfId="0" applyNumberFormat="1" applyFont="1" applyFill="1" applyBorder="1" applyAlignment="1">
      <alignment horizontal="center" vertical="center" wrapText="1"/>
    </xf>
    <xf numFmtId="166" fontId="19" fillId="26" borderId="63" xfId="0" applyNumberFormat="1" applyFont="1" applyFill="1" applyBorder="1" applyAlignment="1">
      <alignment horizontal="center" vertical="center" wrapText="1"/>
    </xf>
    <xf numFmtId="166" fontId="19" fillId="26" borderId="64" xfId="0" applyNumberFormat="1" applyFont="1" applyFill="1" applyBorder="1" applyAlignment="1">
      <alignment horizontal="center" vertical="center" wrapText="1"/>
    </xf>
    <xf numFmtId="166" fontId="19" fillId="26" borderId="65" xfId="0" applyNumberFormat="1" applyFont="1" applyFill="1" applyBorder="1" applyAlignment="1">
      <alignment horizontal="center" vertical="center" wrapText="1"/>
    </xf>
    <xf numFmtId="166" fontId="19" fillId="26" borderId="0" xfId="0" applyNumberFormat="1" applyFont="1" applyFill="1" applyAlignment="1">
      <alignment horizontal="center" vertical="center" wrapText="1"/>
    </xf>
    <xf numFmtId="166" fontId="19" fillId="26" borderId="66" xfId="0" applyNumberFormat="1" applyFont="1" applyFill="1" applyBorder="1" applyAlignment="1">
      <alignment horizontal="center" vertical="center" wrapText="1"/>
    </xf>
    <xf numFmtId="166" fontId="19" fillId="26" borderId="67" xfId="0" applyNumberFormat="1" applyFont="1" applyFill="1" applyBorder="1" applyAlignment="1">
      <alignment horizontal="center" vertical="center" wrapText="1"/>
    </xf>
    <xf numFmtId="166" fontId="19" fillId="26" borderId="68" xfId="0" applyNumberFormat="1" applyFont="1" applyFill="1" applyBorder="1" applyAlignment="1">
      <alignment horizontal="center" vertical="center" wrapText="1"/>
    </xf>
    <xf numFmtId="166" fontId="19" fillId="26" borderId="69" xfId="0" applyNumberFormat="1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/>
    </xf>
    <xf numFmtId="166" fontId="19" fillId="26" borderId="70" xfId="0" applyNumberFormat="1" applyFont="1" applyFill="1" applyBorder="1" applyAlignment="1">
      <alignment horizontal="center" vertical="center" wrapText="1"/>
    </xf>
    <xf numFmtId="166" fontId="6" fillId="9" borderId="22" xfId="0" applyNumberFormat="1" applyFont="1" applyFill="1" applyBorder="1" applyAlignment="1">
      <alignment horizontal="center" vertical="center"/>
    </xf>
    <xf numFmtId="166" fontId="19" fillId="26" borderId="71" xfId="0" applyNumberFormat="1" applyFont="1" applyFill="1" applyBorder="1" applyAlignment="1">
      <alignment horizontal="center" vertical="center" wrapText="1"/>
    </xf>
    <xf numFmtId="166" fontId="6" fillId="9" borderId="24" xfId="0" applyNumberFormat="1" applyFont="1" applyFill="1" applyBorder="1" applyAlignment="1">
      <alignment horizontal="center" vertical="center"/>
    </xf>
    <xf numFmtId="166" fontId="19" fillId="26" borderId="72" xfId="0" applyNumberFormat="1" applyFont="1" applyFill="1" applyBorder="1" applyAlignment="1">
      <alignment horizontal="center" vertical="center" wrapText="1"/>
    </xf>
    <xf numFmtId="166" fontId="6" fillId="9" borderId="27" xfId="0" applyNumberFormat="1" applyFont="1" applyFill="1" applyBorder="1" applyAlignment="1">
      <alignment horizontal="center" vertical="center"/>
    </xf>
    <xf numFmtId="0" fontId="1" fillId="24" borderId="0" xfId="0" applyFont="1" applyFill="1" applyAlignment="1">
      <alignment vertical="center" wrapText="1"/>
    </xf>
    <xf numFmtId="0" fontId="1" fillId="14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165" fontId="19" fillId="26" borderId="62" xfId="0" applyNumberFormat="1" applyFont="1" applyFill="1" applyBorder="1" applyAlignment="1">
      <alignment horizontal="center" vertical="center" wrapText="1"/>
    </xf>
    <xf numFmtId="165" fontId="19" fillId="26" borderId="63" xfId="0" applyNumberFormat="1" applyFont="1" applyFill="1" applyBorder="1" applyAlignment="1">
      <alignment horizontal="center" vertical="center" wrapText="1"/>
    </xf>
    <xf numFmtId="165" fontId="19" fillId="26" borderId="64" xfId="0" applyNumberFormat="1" applyFont="1" applyFill="1" applyBorder="1" applyAlignment="1">
      <alignment horizontal="center" vertical="center" wrapText="1"/>
    </xf>
    <xf numFmtId="165" fontId="19" fillId="26" borderId="65" xfId="0" applyNumberFormat="1" applyFont="1" applyFill="1" applyBorder="1" applyAlignment="1">
      <alignment horizontal="center" vertical="center" wrapText="1"/>
    </xf>
    <xf numFmtId="165" fontId="19" fillId="26" borderId="0" xfId="0" applyNumberFormat="1" applyFont="1" applyFill="1" applyAlignment="1">
      <alignment horizontal="center" vertical="center" wrapText="1"/>
    </xf>
    <xf numFmtId="165" fontId="19" fillId="26" borderId="66" xfId="0" applyNumberFormat="1" applyFont="1" applyFill="1" applyBorder="1" applyAlignment="1">
      <alignment horizontal="center" vertical="center" wrapText="1"/>
    </xf>
    <xf numFmtId="165" fontId="19" fillId="26" borderId="67" xfId="0" applyNumberFormat="1" applyFont="1" applyFill="1" applyBorder="1" applyAlignment="1">
      <alignment horizontal="center" vertical="center" wrapText="1"/>
    </xf>
    <xf numFmtId="165" fontId="19" fillId="26" borderId="68" xfId="0" applyNumberFormat="1" applyFont="1" applyFill="1" applyBorder="1" applyAlignment="1">
      <alignment horizontal="center" vertical="center" wrapText="1"/>
    </xf>
    <xf numFmtId="165" fontId="19" fillId="26" borderId="69" xfId="0" applyNumberFormat="1" applyFont="1" applyFill="1" applyBorder="1" applyAlignment="1">
      <alignment horizontal="center" vertical="center" wrapText="1"/>
    </xf>
    <xf numFmtId="0" fontId="12" fillId="22" borderId="0" xfId="0" applyFont="1" applyFill="1" applyAlignment="1">
      <alignment vertical="center"/>
    </xf>
    <xf numFmtId="0" fontId="12" fillId="19" borderId="0" xfId="0" applyFont="1" applyFill="1" applyAlignment="1">
      <alignment vertical="center"/>
    </xf>
    <xf numFmtId="0" fontId="18" fillId="23" borderId="0" xfId="0" applyFont="1" applyFill="1" applyAlignment="1">
      <alignment vertical="center" wrapText="1"/>
    </xf>
    <xf numFmtId="0" fontId="18" fillId="23" borderId="0" xfId="0" applyFont="1" applyFill="1"/>
    <xf numFmtId="0" fontId="4" fillId="20" borderId="0" xfId="0" applyFont="1" applyFill="1"/>
    <xf numFmtId="0" fontId="1" fillId="13" borderId="0" xfId="0" applyFont="1" applyFill="1" applyAlignment="1">
      <alignment vertical="center"/>
    </xf>
    <xf numFmtId="0" fontId="10" fillId="23" borderId="62" xfId="0" applyFont="1" applyFill="1" applyBorder="1" applyAlignment="1">
      <alignment horizontal="center" vertical="center" wrapText="1"/>
    </xf>
    <xf numFmtId="0" fontId="10" fillId="23" borderId="63" xfId="0" applyFont="1" applyFill="1" applyBorder="1" applyAlignment="1">
      <alignment horizontal="center" vertical="center" wrapText="1"/>
    </xf>
    <xf numFmtId="0" fontId="10" fillId="23" borderId="64" xfId="0" applyFont="1" applyFill="1" applyBorder="1" applyAlignment="1">
      <alignment horizontal="center" vertical="center" wrapText="1"/>
    </xf>
    <xf numFmtId="0" fontId="11" fillId="21" borderId="43" xfId="0" applyFont="1" applyFill="1" applyBorder="1" applyAlignment="1">
      <alignment horizontal="center" vertical="center" wrapText="1"/>
    </xf>
    <xf numFmtId="0" fontId="10" fillId="23" borderId="65" xfId="0" applyFont="1" applyFill="1" applyBorder="1" applyAlignment="1">
      <alignment horizontal="center" vertical="center" wrapText="1"/>
    </xf>
    <xf numFmtId="0" fontId="10" fillId="23" borderId="0" xfId="0" applyFont="1" applyFill="1" applyAlignment="1">
      <alignment horizontal="center" vertical="center" wrapText="1"/>
    </xf>
    <xf numFmtId="0" fontId="10" fillId="23" borderId="66" xfId="0" applyFont="1" applyFill="1" applyBorder="1" applyAlignment="1">
      <alignment horizontal="center" vertical="center" wrapText="1"/>
    </xf>
    <xf numFmtId="0" fontId="11" fillId="21" borderId="44" xfId="0" applyFont="1" applyFill="1" applyBorder="1" applyAlignment="1">
      <alignment horizontal="center" vertical="center" wrapText="1"/>
    </xf>
    <xf numFmtId="0" fontId="10" fillId="23" borderId="67" xfId="0" applyFont="1" applyFill="1" applyBorder="1" applyAlignment="1">
      <alignment horizontal="center" vertical="center" wrapText="1"/>
    </xf>
    <xf numFmtId="0" fontId="10" fillId="23" borderId="68" xfId="0" applyFont="1" applyFill="1" applyBorder="1" applyAlignment="1">
      <alignment horizontal="center" vertical="center" wrapText="1"/>
    </xf>
    <xf numFmtId="0" fontId="10" fillId="23" borderId="69" xfId="0" applyFont="1" applyFill="1" applyBorder="1" applyAlignment="1">
      <alignment horizontal="center" vertical="center" wrapText="1"/>
    </xf>
    <xf numFmtId="0" fontId="11" fillId="21" borderId="45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4" fillId="23" borderId="62" xfId="0" applyFont="1" applyFill="1" applyBorder="1" applyAlignment="1">
      <alignment vertical="center" wrapText="1"/>
    </xf>
    <xf numFmtId="0" fontId="14" fillId="23" borderId="63" xfId="0" applyFont="1" applyFill="1" applyBorder="1" applyAlignment="1">
      <alignment vertical="center" wrapText="1"/>
    </xf>
    <xf numFmtId="0" fontId="14" fillId="23" borderId="64" xfId="0" applyFont="1" applyFill="1" applyBorder="1" applyAlignment="1">
      <alignment vertical="center" wrapText="1"/>
    </xf>
    <xf numFmtId="0" fontId="10" fillId="6" borderId="14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4" fillId="23" borderId="65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66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17" xfId="0" applyFont="1" applyFill="1" applyBorder="1" applyAlignment="1">
      <alignment vertical="center" wrapText="1"/>
    </xf>
    <xf numFmtId="0" fontId="14" fillId="23" borderId="67" xfId="0" applyFont="1" applyFill="1" applyBorder="1" applyAlignment="1">
      <alignment vertical="center" wrapText="1"/>
    </xf>
    <xf numFmtId="0" fontId="14" fillId="23" borderId="68" xfId="0" applyFont="1" applyFill="1" applyBorder="1" applyAlignment="1">
      <alignment vertical="center" wrapText="1"/>
    </xf>
    <xf numFmtId="0" fontId="14" fillId="23" borderId="69" xfId="0" applyFont="1" applyFill="1" applyBorder="1" applyAlignment="1">
      <alignment vertical="center" wrapText="1"/>
    </xf>
    <xf numFmtId="0" fontId="10" fillId="6" borderId="19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vertical="center" wrapText="1"/>
    </xf>
    <xf numFmtId="0" fontId="10" fillId="26" borderId="46" xfId="0" applyFont="1" applyFill="1" applyBorder="1" applyAlignment="1">
      <alignment vertical="center" wrapText="1"/>
    </xf>
    <xf numFmtId="0" fontId="10" fillId="26" borderId="47" xfId="0" applyFont="1" applyFill="1" applyBorder="1" applyAlignment="1">
      <alignment vertical="center" wrapText="1"/>
    </xf>
    <xf numFmtId="0" fontId="10" fillId="26" borderId="48" xfId="0" applyFont="1" applyFill="1" applyBorder="1" applyAlignment="1">
      <alignment vertical="center" wrapText="1"/>
    </xf>
    <xf numFmtId="0" fontId="11" fillId="9" borderId="21" xfId="0" applyFont="1" applyFill="1" applyBorder="1" applyAlignment="1">
      <alignment vertical="center" wrapText="1"/>
    </xf>
    <xf numFmtId="0" fontId="11" fillId="9" borderId="22" xfId="0" applyFont="1" applyFill="1" applyBorder="1" applyAlignment="1">
      <alignment vertical="center" wrapText="1"/>
    </xf>
    <xf numFmtId="0" fontId="10" fillId="26" borderId="49" xfId="0" applyFont="1" applyFill="1" applyBorder="1" applyAlignment="1">
      <alignment vertical="center" wrapText="1"/>
    </xf>
    <xf numFmtId="0" fontId="10" fillId="26" borderId="0" xfId="0" applyFont="1" applyFill="1" applyAlignment="1">
      <alignment vertical="center" wrapText="1"/>
    </xf>
    <xf numFmtId="0" fontId="10" fillId="26" borderId="50" xfId="0" applyFont="1" applyFill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0" fontId="11" fillId="9" borderId="24" xfId="0" applyFont="1" applyFill="1" applyBorder="1" applyAlignment="1">
      <alignment vertical="center" wrapText="1"/>
    </xf>
    <xf numFmtId="0" fontId="10" fillId="26" borderId="51" xfId="0" applyFont="1" applyFill="1" applyBorder="1" applyAlignment="1">
      <alignment vertical="center" wrapText="1"/>
    </xf>
    <xf numFmtId="0" fontId="10" fillId="26" borderId="52" xfId="0" applyFont="1" applyFill="1" applyBorder="1" applyAlignment="1">
      <alignment vertical="center" wrapText="1"/>
    </xf>
    <xf numFmtId="0" fontId="10" fillId="26" borderId="53" xfId="0" applyFont="1" applyFill="1" applyBorder="1" applyAlignment="1">
      <alignment vertical="center" wrapText="1"/>
    </xf>
    <xf numFmtId="0" fontId="11" fillId="9" borderId="25" xfId="0" applyFont="1" applyFill="1" applyBorder="1" applyAlignment="1">
      <alignment vertical="center" wrapText="1"/>
    </xf>
    <xf numFmtId="0" fontId="11" fillId="9" borderId="26" xfId="0" applyFont="1" applyFill="1" applyBorder="1" applyAlignment="1">
      <alignment vertical="center" wrapText="1"/>
    </xf>
    <xf numFmtId="0" fontId="11" fillId="9" borderId="27" xfId="0" applyFont="1" applyFill="1" applyBorder="1" applyAlignment="1">
      <alignment vertical="center" wrapText="1"/>
    </xf>
    <xf numFmtId="0" fontId="1" fillId="22" borderId="0" xfId="0" applyFont="1" applyFill="1" applyAlignment="1">
      <alignment vertical="center" wrapText="1"/>
    </xf>
    <xf numFmtId="0" fontId="22" fillId="23" borderId="76" xfId="0" applyFont="1" applyFill="1" applyBorder="1" applyAlignment="1">
      <alignment horizontal="center" vertical="center" wrapText="1"/>
    </xf>
    <xf numFmtId="0" fontId="22" fillId="23" borderId="77" xfId="0" applyFont="1" applyFill="1" applyBorder="1" applyAlignment="1">
      <alignment horizontal="center" vertical="center" wrapText="1"/>
    </xf>
    <xf numFmtId="0" fontId="22" fillId="23" borderId="7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22" fillId="23" borderId="79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34" xfId="0" applyFont="1" applyFill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1" borderId="37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5" fillId="11" borderId="39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wrapText="1"/>
    </xf>
    <xf numFmtId="0" fontId="9" fillId="17" borderId="0" xfId="0" applyFont="1" applyFill="1" applyAlignment="1">
      <alignment horizontal="center"/>
    </xf>
    <xf numFmtId="0" fontId="20" fillId="23" borderId="54" xfId="0" applyFont="1" applyFill="1" applyBorder="1" applyAlignment="1">
      <alignment vertical="center" wrapText="1"/>
    </xf>
    <xf numFmtId="0" fontId="20" fillId="23" borderId="55" xfId="0" applyFont="1" applyFill="1" applyBorder="1" applyAlignment="1">
      <alignment vertical="center" wrapText="1"/>
    </xf>
    <xf numFmtId="0" fontId="20" fillId="23" borderId="56" xfId="0" applyFont="1" applyFill="1" applyBorder="1" applyAlignment="1">
      <alignment vertical="center" wrapText="1"/>
    </xf>
    <xf numFmtId="0" fontId="7" fillId="11" borderId="0" xfId="0" applyFont="1" applyFill="1" applyAlignment="1">
      <alignment vertical="center" wrapText="1"/>
    </xf>
    <xf numFmtId="0" fontId="20" fillId="23" borderId="57" xfId="0" applyFont="1" applyFill="1" applyBorder="1" applyAlignment="1">
      <alignment vertical="center" wrapText="1"/>
    </xf>
    <xf numFmtId="0" fontId="20" fillId="23" borderId="0" xfId="0" applyFont="1" applyFill="1" applyAlignment="1">
      <alignment vertical="center" wrapText="1"/>
    </xf>
    <xf numFmtId="0" fontId="20" fillId="23" borderId="58" xfId="0" applyFont="1" applyFill="1" applyBorder="1" applyAlignment="1">
      <alignment vertical="center" wrapText="1"/>
    </xf>
    <xf numFmtId="0" fontId="20" fillId="23" borderId="59" xfId="0" applyFont="1" applyFill="1" applyBorder="1" applyAlignment="1">
      <alignment vertical="center" wrapText="1"/>
    </xf>
    <xf numFmtId="0" fontId="20" fillId="23" borderId="60" xfId="0" applyFont="1" applyFill="1" applyBorder="1" applyAlignment="1">
      <alignment vertical="center" wrapText="1"/>
    </xf>
    <xf numFmtId="0" fontId="20" fillId="23" borderId="61" xfId="0" applyFont="1" applyFill="1" applyBorder="1" applyAlignment="1">
      <alignment vertical="center" wrapText="1"/>
    </xf>
    <xf numFmtId="0" fontId="1" fillId="12" borderId="0" xfId="0" applyFont="1" applyFill="1" applyAlignment="1">
      <alignment vertical="center"/>
    </xf>
    <xf numFmtId="0" fontId="2" fillId="25" borderId="0" xfId="0" applyFont="1" applyFill="1" applyAlignment="1">
      <alignment horizontal="center" vertical="center" wrapText="1"/>
    </xf>
    <xf numFmtId="0" fontId="19" fillId="26" borderId="62" xfId="0" applyFont="1" applyFill="1" applyBorder="1" applyAlignment="1">
      <alignment horizontal="center" vertical="center" wrapText="1"/>
    </xf>
    <xf numFmtId="0" fontId="19" fillId="26" borderId="63" xfId="0" applyFont="1" applyFill="1" applyBorder="1" applyAlignment="1">
      <alignment horizontal="center" vertical="center" wrapText="1"/>
    </xf>
    <xf numFmtId="0" fontId="19" fillId="26" borderId="64" xfId="0" applyFont="1" applyFill="1" applyBorder="1" applyAlignment="1">
      <alignment horizontal="center" vertical="center" wrapText="1"/>
    </xf>
    <xf numFmtId="0" fontId="19" fillId="26" borderId="65" xfId="0" applyFont="1" applyFill="1" applyBorder="1" applyAlignment="1">
      <alignment horizontal="center" vertical="center" wrapText="1"/>
    </xf>
    <xf numFmtId="0" fontId="19" fillId="26" borderId="0" xfId="0" applyFont="1" applyFill="1" applyAlignment="1">
      <alignment horizontal="center" vertical="center" wrapText="1"/>
    </xf>
    <xf numFmtId="0" fontId="19" fillId="26" borderId="66" xfId="0" applyFont="1" applyFill="1" applyBorder="1" applyAlignment="1">
      <alignment horizontal="center" vertical="center" wrapText="1"/>
    </xf>
    <xf numFmtId="0" fontId="19" fillId="26" borderId="67" xfId="0" applyFont="1" applyFill="1" applyBorder="1" applyAlignment="1">
      <alignment horizontal="center" vertical="center" wrapText="1"/>
    </xf>
    <xf numFmtId="0" fontId="19" fillId="26" borderId="68" xfId="0" applyFont="1" applyFill="1" applyBorder="1" applyAlignment="1">
      <alignment horizontal="center" vertical="center" wrapText="1"/>
    </xf>
    <xf numFmtId="0" fontId="19" fillId="26" borderId="69" xfId="0" applyFont="1" applyFill="1" applyBorder="1" applyAlignment="1">
      <alignment horizontal="center" vertical="center" wrapText="1"/>
    </xf>
    <xf numFmtId="164" fontId="19" fillId="26" borderId="62" xfId="0" applyNumberFormat="1" applyFont="1" applyFill="1" applyBorder="1" applyAlignment="1">
      <alignment horizontal="center" vertical="center" wrapText="1"/>
    </xf>
    <xf numFmtId="164" fontId="19" fillId="26" borderId="63" xfId="0" applyNumberFormat="1" applyFont="1" applyFill="1" applyBorder="1" applyAlignment="1">
      <alignment horizontal="center" vertical="center" wrapText="1"/>
    </xf>
    <xf numFmtId="164" fontId="19" fillId="26" borderId="64" xfId="0" applyNumberFormat="1" applyFont="1" applyFill="1" applyBorder="1" applyAlignment="1">
      <alignment horizontal="center" vertical="center" wrapText="1"/>
    </xf>
    <xf numFmtId="164" fontId="19" fillId="26" borderId="65" xfId="0" applyNumberFormat="1" applyFont="1" applyFill="1" applyBorder="1" applyAlignment="1">
      <alignment horizontal="center" vertical="center" wrapText="1"/>
    </xf>
    <xf numFmtId="164" fontId="19" fillId="26" borderId="0" xfId="0" applyNumberFormat="1" applyFont="1" applyFill="1" applyAlignment="1">
      <alignment horizontal="center" vertical="center" wrapText="1"/>
    </xf>
    <xf numFmtId="164" fontId="19" fillId="26" borderId="66" xfId="0" applyNumberFormat="1" applyFont="1" applyFill="1" applyBorder="1" applyAlignment="1">
      <alignment horizontal="center" vertical="center" wrapText="1"/>
    </xf>
    <xf numFmtId="164" fontId="19" fillId="26" borderId="67" xfId="0" applyNumberFormat="1" applyFont="1" applyFill="1" applyBorder="1" applyAlignment="1">
      <alignment horizontal="center" vertical="center" wrapText="1"/>
    </xf>
    <xf numFmtId="164" fontId="19" fillId="26" borderId="68" xfId="0" applyNumberFormat="1" applyFont="1" applyFill="1" applyBorder="1" applyAlignment="1">
      <alignment horizontal="center" vertical="center" wrapText="1"/>
    </xf>
    <xf numFmtId="164" fontId="19" fillId="26" borderId="69" xfId="0" applyNumberFormat="1" applyFont="1" applyFill="1" applyBorder="1" applyAlignment="1">
      <alignment horizontal="center" vertical="center" wrapText="1"/>
    </xf>
    <xf numFmtId="0" fontId="2" fillId="15" borderId="0" xfId="0" applyFont="1" applyFill="1" applyAlignment="1">
      <alignment horizontal="center" vertical="center"/>
    </xf>
    <xf numFmtId="0" fontId="19" fillId="26" borderId="70" xfId="0" applyFont="1" applyFill="1" applyBorder="1" applyAlignment="1">
      <alignment horizontal="center" vertical="center" wrapText="1"/>
    </xf>
    <xf numFmtId="0" fontId="8" fillId="16" borderId="28" xfId="0" applyFont="1" applyFill="1" applyBorder="1" applyAlignment="1">
      <alignment horizontal="center" vertical="center"/>
    </xf>
    <xf numFmtId="0" fontId="8" fillId="16" borderId="29" xfId="0" applyFont="1" applyFill="1" applyBorder="1" applyAlignment="1">
      <alignment horizontal="center" vertical="center"/>
    </xf>
    <xf numFmtId="0" fontId="19" fillId="26" borderId="71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/>
    </xf>
    <xf numFmtId="0" fontId="8" fillId="16" borderId="30" xfId="0" applyFont="1" applyFill="1" applyBorder="1" applyAlignment="1">
      <alignment horizontal="center" vertical="center"/>
    </xf>
    <xf numFmtId="0" fontId="19" fillId="26" borderId="72" xfId="0" applyFont="1" applyFill="1" applyBorder="1" applyAlignment="1">
      <alignment horizontal="center" vertical="center" wrapText="1"/>
    </xf>
    <xf numFmtId="0" fontId="8" fillId="16" borderId="31" xfId="0" applyFont="1" applyFill="1" applyBorder="1" applyAlignment="1">
      <alignment horizontal="center" vertical="center"/>
    </xf>
    <xf numFmtId="0" fontId="8" fillId="16" borderId="32" xfId="0" applyFont="1" applyFill="1" applyBorder="1" applyAlignment="1">
      <alignment horizontal="center" vertical="center"/>
    </xf>
    <xf numFmtId="0" fontId="15" fillId="27" borderId="0" xfId="0" applyFont="1" applyFill="1" applyAlignment="1">
      <alignment vertical="center" wrapText="1"/>
    </xf>
    <xf numFmtId="164" fontId="15" fillId="27" borderId="0" xfId="0" applyNumberFormat="1" applyFont="1" applyFill="1" applyAlignment="1">
      <alignment vertical="center"/>
    </xf>
    <xf numFmtId="0" fontId="3" fillId="22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6" borderId="0" xfId="0" applyFont="1" applyFill="1"/>
    <xf numFmtId="0" fontId="19" fillId="26" borderId="46" xfId="0" applyFont="1" applyFill="1" applyBorder="1" applyAlignment="1">
      <alignment horizontal="center" vertical="center" wrapText="1"/>
    </xf>
    <xf numFmtId="0" fontId="19" fillId="26" borderId="47" xfId="0" applyFont="1" applyFill="1" applyBorder="1" applyAlignment="1">
      <alignment horizontal="center" vertical="center" wrapText="1"/>
    </xf>
    <xf numFmtId="0" fontId="19" fillId="26" borderId="4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19" fillId="26" borderId="49" xfId="0" applyFont="1" applyFill="1" applyBorder="1" applyAlignment="1">
      <alignment horizontal="center" vertical="center" wrapText="1"/>
    </xf>
    <xf numFmtId="0" fontId="19" fillId="26" borderId="50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19" fillId="26" borderId="51" xfId="0" applyFont="1" applyFill="1" applyBorder="1" applyAlignment="1">
      <alignment horizontal="center" vertical="center" wrapText="1"/>
    </xf>
    <xf numFmtId="0" fontId="19" fillId="26" borderId="52" xfId="0" applyFont="1" applyFill="1" applyBorder="1" applyAlignment="1">
      <alignment horizontal="center" vertical="center" wrapText="1"/>
    </xf>
    <xf numFmtId="0" fontId="19" fillId="26" borderId="53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23" fillId="23" borderId="0" xfId="0" applyFont="1" applyFill="1" applyAlignment="1">
      <alignment wrapText="1"/>
    </xf>
    <xf numFmtId="0" fontId="18" fillId="23" borderId="0" xfId="0" applyFont="1" applyFill="1" applyAlignment="1">
      <alignment vertical="center"/>
    </xf>
    <xf numFmtId="14" fontId="1" fillId="24" borderId="0" xfId="0" applyNumberFormat="1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3" fillId="23" borderId="0" xfId="0" applyFont="1" applyFill="1" applyAlignment="1">
      <alignment vertical="top" wrapText="1"/>
    </xf>
    <xf numFmtId="14" fontId="23" fillId="23" borderId="0" xfId="0" applyNumberFormat="1" applyFont="1" applyFill="1" applyAlignment="1">
      <alignment vertical="top" wrapText="1"/>
    </xf>
    <xf numFmtId="0" fontId="13" fillId="6" borderId="0" xfId="0" applyFont="1" applyFill="1" applyAlignment="1">
      <alignment vertical="top" wrapText="1"/>
    </xf>
    <xf numFmtId="14" fontId="1" fillId="25" borderId="0" xfId="0" applyNumberFormat="1" applyFont="1" applyFill="1" applyAlignment="1">
      <alignment vertical="center" wrapText="1"/>
    </xf>
    <xf numFmtId="0" fontId="24" fillId="26" borderId="76" xfId="0" applyFont="1" applyFill="1" applyBorder="1" applyAlignment="1">
      <alignment horizontal="center" vertical="center" wrapText="1"/>
    </xf>
    <xf numFmtId="14" fontId="24" fillId="26" borderId="78" xfId="0" applyNumberFormat="1" applyFont="1" applyFill="1" applyBorder="1" applyAlignment="1">
      <alignment horizontal="center" vertical="center" wrapText="1"/>
    </xf>
    <xf numFmtId="0" fontId="24" fillId="26" borderId="78" xfId="0" applyFont="1" applyFill="1" applyBorder="1" applyAlignment="1">
      <alignment horizontal="center" vertical="center" wrapText="1"/>
    </xf>
    <xf numFmtId="164" fontId="24" fillId="26" borderId="76" xfId="0" applyNumberFormat="1" applyFont="1" applyFill="1" applyBorder="1" applyAlignment="1">
      <alignment horizontal="center" vertical="center" wrapText="1"/>
    </xf>
    <xf numFmtId="164" fontId="24" fillId="26" borderId="78" xfId="0" applyNumberFormat="1" applyFont="1" applyFill="1" applyBorder="1" applyAlignment="1">
      <alignment horizontal="center" vertical="center" wrapText="1"/>
    </xf>
    <xf numFmtId="0" fontId="20" fillId="26" borderId="62" xfId="0" applyFont="1" applyFill="1" applyBorder="1" applyAlignment="1">
      <alignment vertical="center" wrapText="1"/>
    </xf>
    <xf numFmtId="0" fontId="20" fillId="26" borderId="63" xfId="0" applyFont="1" applyFill="1" applyBorder="1" applyAlignment="1">
      <alignment vertical="center" wrapText="1"/>
    </xf>
    <xf numFmtId="0" fontId="20" fillId="26" borderId="64" xfId="0" applyFont="1" applyFill="1" applyBorder="1" applyAlignment="1">
      <alignment vertical="center" wrapText="1"/>
    </xf>
    <xf numFmtId="0" fontId="20" fillId="26" borderId="65" xfId="0" applyFont="1" applyFill="1" applyBorder="1" applyAlignment="1">
      <alignment vertical="center" wrapText="1"/>
    </xf>
    <xf numFmtId="0" fontId="20" fillId="26" borderId="0" xfId="0" applyFont="1" applyFill="1" applyAlignment="1">
      <alignment vertical="center" wrapText="1"/>
    </xf>
    <xf numFmtId="0" fontId="20" fillId="26" borderId="66" xfId="0" applyFont="1" applyFill="1" applyBorder="1" applyAlignment="1">
      <alignment vertical="center" wrapText="1"/>
    </xf>
    <xf numFmtId="0" fontId="20" fillId="26" borderId="67" xfId="0" applyFont="1" applyFill="1" applyBorder="1" applyAlignment="1">
      <alignment vertical="center" wrapText="1"/>
    </xf>
    <xf numFmtId="0" fontId="20" fillId="26" borderId="68" xfId="0" applyFont="1" applyFill="1" applyBorder="1" applyAlignment="1">
      <alignment vertical="center" wrapText="1"/>
    </xf>
    <xf numFmtId="0" fontId="20" fillId="26" borderId="69" xfId="0" applyFont="1" applyFill="1" applyBorder="1" applyAlignment="1">
      <alignment vertical="center" wrapText="1"/>
    </xf>
  </cellXfs>
  <cellStyles count="1">
    <cellStyle name="Normal" xfId="0" builtinId="0"/>
  </cellStyles>
  <dxfs count="39">
    <dxf>
      <fill>
        <patternFill>
          <bgColor rgb="FFDFF5E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>
          <bgColor rgb="FFFD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>
          <bgColor rgb="FFDFF5E7"/>
        </patternFill>
      </fill>
    </dxf>
    <dxf>
      <fill>
        <patternFill>
          <bgColor rgb="FFE9EEF7"/>
        </patternFill>
      </fill>
    </dxf>
    <dxf>
      <fill>
        <patternFill>
          <bgColor rgb="FFFCE8C3"/>
        </patternFill>
      </fill>
    </dxf>
    <dxf>
      <fill>
        <patternFill>
          <bgColor rgb="FFDFF5E7"/>
        </patternFill>
      </fill>
    </dxf>
    <dxf>
      <font>
        <b/>
        <color rgb="FF0B1F4B"/>
      </font>
      <fill>
        <patternFill patternType="solid">
          <bgColor rgb="FFDBEAFE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0B1F4B"/>
      </font>
      <fill>
        <patternFill patternType="solid">
          <bgColor rgb="FFE4EEFF"/>
        </patternFill>
      </fill>
    </dxf>
    <dxf>
      <font>
        <b/>
        <color rgb="FF10214B"/>
      </font>
      <fill>
        <patternFill patternType="solid">
          <bgColor rgb="FFDBEAFE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>
          <bgColor rgb="FFFD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B1F4B"/>
      </font>
      <fill>
        <patternFill patternType="solid">
          <bgColor rgb="FFE4EE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s-MX"/>
              <a:t>Prospectos y compradores por canal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Prospectos</c:v>
          </c:tx>
          <c:invertIfNegative val="1"/>
          <c:cat>
            <c:strRef>
              <c:f>'03_Cierra'!$E$24:$E$30</c:f>
              <c:strCache>
                <c:ptCount val="7"/>
                <c:pt idx="0">
                  <c:v>WhatsApp</c:v>
                </c:pt>
                <c:pt idx="1">
                  <c:v>Tienda física</c:v>
                </c:pt>
                <c:pt idx="2">
                  <c:v>Instagram</c:v>
                </c:pt>
                <c:pt idx="3">
                  <c:v>Facebook</c:v>
                </c:pt>
                <c:pt idx="4">
                  <c:v>Página web</c:v>
                </c:pt>
                <c:pt idx="5">
                  <c:v>Marketplace</c:v>
                </c:pt>
                <c:pt idx="6">
                  <c:v>Otro</c:v>
                </c:pt>
              </c:strCache>
            </c:strRef>
          </c:cat>
          <c:val>
            <c:numRef>
              <c:f>'03_Cierra'!$F$24:$F$30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2-4486-B4F9-C667861A6D21}"/>
            </c:ext>
          </c:extLst>
        </c:ser>
        <c:ser>
          <c:idx val="1"/>
          <c:order val="1"/>
          <c:tx>
            <c:v>Compradores</c:v>
          </c:tx>
          <c:invertIfNegative val="1"/>
          <c:cat>
            <c:strRef>
              <c:f>'03_Cierra'!$E$24:$E$30</c:f>
              <c:strCache>
                <c:ptCount val="7"/>
                <c:pt idx="0">
                  <c:v>WhatsApp</c:v>
                </c:pt>
                <c:pt idx="1">
                  <c:v>Tienda física</c:v>
                </c:pt>
                <c:pt idx="2">
                  <c:v>Instagram</c:v>
                </c:pt>
                <c:pt idx="3">
                  <c:v>Facebook</c:v>
                </c:pt>
                <c:pt idx="4">
                  <c:v>Página web</c:v>
                </c:pt>
                <c:pt idx="5">
                  <c:v>Marketplace</c:v>
                </c:pt>
                <c:pt idx="6">
                  <c:v>Otro</c:v>
                </c:pt>
              </c:strCache>
            </c:strRef>
          </c:cat>
          <c:val>
            <c:numRef>
              <c:f>'03_Cierra'!$G$24:$G$30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22-4486-B4F9-C667861A6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21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spectosV33" displayName="ProspectosV33" ref="A22:I33" totalsRowShown="0">
  <tableColumns count="9">
    <tableColumn id="1" xr3:uid="{00000000-0010-0000-0000-000001000000}" name="ID (ref.)"/>
    <tableColumn id="2" xr3:uid="{00000000-0010-0000-0000-000002000000}" name="Fecha de contacto"/>
    <tableColumn id="3" xr3:uid="{00000000-0010-0000-0000-000003000000}" name="Canal"/>
    <tableColumn id="4" xr3:uid="{00000000-0010-0000-0000-000004000000}" name="Cliente / contacto"/>
    <tableColumn id="5" xr3:uid="{00000000-0010-0000-0000-000005000000}" name="Estado"/>
    <tableColumn id="6" xr3:uid="{00000000-0010-0000-0000-000006000000}" name="Responsable"/>
    <tableColumn id="7" xr3:uid="{00000000-0010-0000-0000-000007000000}" name="Próxima acción"/>
    <tableColumn id="8" xr3:uid="{00000000-0010-0000-0000-000008000000}" name="Fecha de seguimiento"/>
    <tableColumn id="9" xr3:uid="{00000000-0010-0000-0000-000009000000}" name="Alert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edidosV33" displayName="PedidosV33" ref="A38:R56" totalsRowShown="0">
  <tableColumns count="18">
    <tableColumn id="1" xr3:uid="{00000000-0010-0000-0100-000001000000}" name="ID pedido (ref.)"/>
    <tableColumn id="2" xr3:uid="{00000000-0010-0000-0100-000002000000}" name="Cliente / contacto"/>
    <tableColumn id="3" xr3:uid="{00000000-0010-0000-0100-000003000000}" name="Fecha"/>
    <tableColumn id="4" xr3:uid="{00000000-0010-0000-0100-000004000000}" name="Servicio"/>
    <tableColumn id="5" xr3:uid="{00000000-0010-0000-0100-000005000000}" name="Cantidad / sesiones"/>
    <tableColumn id="6" xr3:uid="{00000000-0010-0000-0100-000006000000}" name="Importe venta"/>
    <tableColumn id="7" xr3:uid="{00000000-0010-0000-0100-000007000000}" name="Cobrado"/>
    <tableColumn id="8" xr3:uid="{00000000-0010-0000-0100-000008000000}" name="Estado pago"/>
    <tableColumn id="9" xr3:uid="{00000000-0010-0000-0100-000009000000}" name="Estado servicio"/>
    <tableColumn id="10" xr3:uid="{00000000-0010-0000-0100-00000A000000}" name="Fecha programada"/>
    <tableColumn id="11" xr3:uid="{00000000-0010-0000-0100-00000B000000}" name="Fecha realizada"/>
    <tableColumn id="12" xr3:uid="{00000000-0010-0000-0100-00000C000000}" name="Cancelado / devuelto"/>
    <tableColumn id="13" xr3:uid="{00000000-0010-0000-0100-00000D000000}" name="Costo variable total"/>
    <tableColumn id="14" xr3:uid="{00000000-0010-0000-0100-00000E000000}" name="Ventas netas"/>
    <tableColumn id="15" xr3:uid="{00000000-0010-0000-0100-00000F000000}" name="Saldo pendiente"/>
    <tableColumn id="16" xr3:uid="{00000000-0010-0000-0100-000010000000}" name="Contribución"/>
    <tableColumn id="17" xr3:uid="{00000000-0010-0000-0100-000011000000}" name="Servicio a tiempo"/>
    <tableColumn id="18" xr3:uid="{00000000-0010-0000-0100-000012000000}" name="Aler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IncidenciasV33" displayName="IncidenciasV33" ref="A64:L75" totalsRowShown="0">
  <tableColumns count="12">
    <tableColumn id="1" xr3:uid="{00000000-0010-0000-0200-000001000000}" name="Folio (ref.)"/>
    <tableColumn id="2" xr3:uid="{00000000-0010-0000-0200-000002000000}" name="Cliente / contacto"/>
    <tableColumn id="3" xr3:uid="{00000000-0010-0000-0200-000003000000}" name="Fecha"/>
    <tableColumn id="4" xr3:uid="{00000000-0010-0000-0200-000004000000}" name="Problema"/>
    <tableColumn id="5" xr3:uid="{00000000-0010-0000-0200-000005000000}" name="Prioridad"/>
    <tableColumn id="6" xr3:uid="{00000000-0010-0000-0200-000006000000}" name="Responsable"/>
    <tableColumn id="7" xr3:uid="{00000000-0010-0000-0200-000007000000}" name="Acción acordada"/>
    <tableColumn id="8" xr3:uid="{00000000-0010-0000-0200-000008000000}" name="Fecha compromiso"/>
    <tableColumn id="9" xr3:uid="{00000000-0010-0000-0200-000009000000}" name="Estado"/>
    <tableColumn id="10" xr3:uid="{00000000-0010-0000-0200-00000A000000}" name="Nivel decisión"/>
    <tableColumn id="11" xr3:uid="{00000000-0010-0000-0200-00000B000000}" name="Evidencia"/>
    <tableColumn id="12" xr3:uid="{00000000-0010-0000-0200-00000C000000}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opLeftCell="A21" workbookViewId="0">
      <selection activeCell="C43" sqref="C43"/>
    </sheetView>
  </sheetViews>
  <sheetFormatPr defaultRowHeight="13.8"/>
  <cols>
    <col min="1" max="1" width="28.796875" customWidth="1"/>
    <col min="2" max="2" width="20" customWidth="1"/>
    <col min="3" max="3" width="28" customWidth="1"/>
    <col min="4" max="4" width="34" customWidth="1"/>
    <col min="6" max="12" width="18" customWidth="1"/>
  </cols>
  <sheetData>
    <row r="1" spans="1:12" ht="30.4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10"/>
      <c r="L1" s="210"/>
    </row>
    <row r="2" spans="1:12" ht="6.9" customHeight="1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211"/>
      <c r="L2" s="211"/>
    </row>
    <row r="4" spans="1:12">
      <c r="A4" s="72" t="s">
        <v>2</v>
      </c>
      <c r="B4" s="72"/>
      <c r="C4" s="72"/>
      <c r="D4" s="72" t="s">
        <v>3</v>
      </c>
      <c r="E4" s="72"/>
      <c r="F4" s="72"/>
      <c r="H4" s="54" t="s">
        <v>4</v>
      </c>
      <c r="I4" s="54"/>
      <c r="J4" s="54"/>
      <c r="K4" s="74"/>
      <c r="L4" s="74"/>
    </row>
    <row r="5" spans="1:12">
      <c r="A5" s="9" t="s">
        <v>5</v>
      </c>
      <c r="B5" s="10" t="s">
        <v>6</v>
      </c>
      <c r="D5" s="9" t="s">
        <v>7</v>
      </c>
      <c r="E5" s="207" t="s">
        <v>8</v>
      </c>
      <c r="F5" s="207"/>
      <c r="H5" s="212" t="str">
        <f>IF(AND('03_Cierra'!$G$11="Sí",'03_Cierra'!$G$12="SÍ"),"CERRADA",IF(AND($B$30="Sí",COUNTIF($B$24:$B$28,"PENDIENTE")=0),"EN CURSO",IF(COUNTIF($B$24:$B$28,"PENDIENTE")=0,"LISTA PARA COMENZAR","PREPARANDO")))</f>
        <v>PREPARANDO</v>
      </c>
      <c r="I5" s="213"/>
      <c r="J5" s="214"/>
      <c r="K5" s="215"/>
      <c r="L5" s="216"/>
    </row>
    <row r="6" spans="1:12">
      <c r="A6" s="9" t="s">
        <v>9</v>
      </c>
      <c r="B6" s="10" t="s">
        <v>10</v>
      </c>
      <c r="D6" s="9" t="s">
        <v>11</v>
      </c>
      <c r="E6" s="207" t="s">
        <v>12</v>
      </c>
      <c r="F6" s="207"/>
      <c r="H6" s="217"/>
      <c r="I6" s="183"/>
      <c r="J6" s="218"/>
      <c r="K6" s="219"/>
      <c r="L6" s="220"/>
    </row>
    <row r="7" spans="1:12">
      <c r="A7" s="9" t="s">
        <v>13</v>
      </c>
      <c r="B7" s="10" t="s">
        <v>14</v>
      </c>
      <c r="D7" s="9" t="s">
        <v>15</v>
      </c>
      <c r="E7" s="207" t="s">
        <v>16</v>
      </c>
      <c r="F7" s="207"/>
      <c r="H7" s="221"/>
      <c r="I7" s="222"/>
      <c r="J7" s="223"/>
      <c r="K7" s="224"/>
      <c r="L7" s="225"/>
    </row>
    <row r="8" spans="1:12">
      <c r="A8" s="9" t="s">
        <v>17</v>
      </c>
      <c r="B8" s="11">
        <v>46339</v>
      </c>
      <c r="D8" s="9" t="s">
        <v>18</v>
      </c>
      <c r="E8" s="207" t="s">
        <v>19</v>
      </c>
      <c r="F8" s="207"/>
      <c r="H8" s="167" t="s">
        <v>20</v>
      </c>
      <c r="I8" s="168"/>
      <c r="J8" s="169"/>
      <c r="K8" s="170"/>
      <c r="L8" s="170"/>
    </row>
    <row r="9" spans="1:12">
      <c r="A9" s="9" t="s">
        <v>21</v>
      </c>
      <c r="B9" s="11">
        <v>46343</v>
      </c>
      <c r="D9" s="9" t="s">
        <v>22</v>
      </c>
      <c r="E9" s="207" t="s">
        <v>23</v>
      </c>
      <c r="F9" s="207"/>
      <c r="H9" s="171"/>
      <c r="I9" s="172"/>
      <c r="J9" s="173"/>
      <c r="K9" s="170"/>
      <c r="L9" s="170"/>
    </row>
    <row r="10" spans="1:12">
      <c r="A10" s="9" t="s">
        <v>24</v>
      </c>
      <c r="B10" s="12">
        <v>800</v>
      </c>
      <c r="D10" s="9"/>
      <c r="E10" s="207"/>
      <c r="F10" s="207"/>
      <c r="H10" s="174"/>
      <c r="I10" s="175"/>
      <c r="J10" s="176"/>
      <c r="K10" s="170"/>
      <c r="L10" s="170"/>
    </row>
    <row r="11" spans="1:12">
      <c r="A11" s="9" t="s">
        <v>25</v>
      </c>
      <c r="B11" s="10" t="s">
        <v>26</v>
      </c>
      <c r="D11" s="9" t="s">
        <v>27</v>
      </c>
      <c r="E11" s="208">
        <v>700</v>
      </c>
      <c r="F11" s="208"/>
    </row>
    <row r="12" spans="1:12">
      <c r="A12" s="9" t="s">
        <v>28</v>
      </c>
      <c r="B12" s="10" t="s">
        <v>26</v>
      </c>
    </row>
    <row r="13" spans="1:12">
      <c r="A13" s="9" t="s">
        <v>29</v>
      </c>
      <c r="B13" s="10" t="s">
        <v>26</v>
      </c>
    </row>
    <row r="15" spans="1:12">
      <c r="A15" s="44" t="s">
        <v>30</v>
      </c>
      <c r="B15" s="44"/>
      <c r="C15" s="44"/>
      <c r="D15" s="44"/>
      <c r="E15" s="44"/>
      <c r="F15" s="44"/>
      <c r="G15" s="44"/>
      <c r="H15" s="44"/>
      <c r="I15" s="44"/>
      <c r="J15" s="44"/>
      <c r="K15" s="177"/>
      <c r="L15" s="177"/>
    </row>
    <row r="16" spans="1:12">
      <c r="A16" s="178" t="str">
        <f>IF($H$5="EN CURSO","PROSPECTOS ACTIVOS",IF($H$5="CERRADA","VENTAS NETAS","DISPONIBLE"))</f>
        <v>DISPONIBLE</v>
      </c>
      <c r="B16" s="178"/>
      <c r="C16" s="178"/>
      <c r="D16" s="178" t="str">
        <f>IF($H$5="EN CURSO","SERVICIOS",IF($H$5="CERRADA","CONTRIBUCIÓN","PENDIENTES"))</f>
        <v>PENDIENTES</v>
      </c>
      <c r="E16" s="178"/>
      <c r="F16" s="178"/>
      <c r="G16" s="178" t="s">
        <v>31</v>
      </c>
      <c r="H16" s="178"/>
      <c r="I16" s="178"/>
      <c r="J16" s="178" t="str">
        <f>IF($H$5="EN CURSO","REQUIERE ATENCIÓN",IF($H$5="CERRADA","SERVICIOS A TIEMPO","INCIDENCIAS"))</f>
        <v>INCIDENCIAS</v>
      </c>
      <c r="K16" s="197"/>
      <c r="L16" s="197"/>
    </row>
    <row r="17" spans="1:12">
      <c r="A17" s="179">
        <f>IF($H$5="EN CURSO",COUNTIFS('02_Controla'!$D$23:$D$33,"&lt;&gt;",'02_Controla'!$E$23:$E$33,"&lt;&gt;Convertido",'02_Controla'!$E$23:$E$33,"&lt;&gt;Cerrado sin compra"),IF($H$5="CERRADA",SUM('02_Controla'!$N$39:$N$56),IFERROR(SUM('01_Alistate'!$K$10:$K$18),0)))</f>
        <v>5</v>
      </c>
      <c r="B17" s="180"/>
      <c r="C17" s="181"/>
      <c r="D17" s="179">
        <f>IF($H$5="EN CURSO",COUNTIF('02_Controla'!$N$39:$N$56,"&gt;0"),IF($H$5="CERRADA",SUM('02_Controla'!$P$39:$P$56),COUNTIFS('01_Alistate'!$A$26:$A$125,"&lt;&gt;",'01_Alistate'!$E$26:$E$125,"&lt;&gt;Terminado")))</f>
        <v>2</v>
      </c>
      <c r="E17" s="180"/>
      <c r="F17" s="181"/>
      <c r="G17" s="188">
        <f>SUM('02_Controla'!$O$39:$O$56)</f>
        <v>2800</v>
      </c>
      <c r="H17" s="189"/>
      <c r="I17" s="190"/>
      <c r="J17" s="198">
        <f>IF($H$5="EN CURSO",COUNTIF('02_Controla'!$R$39:$R$56,"SERVICIO ATRASADO")+COUNTIF('02_Controla'!$I$65:$I$75,"Abierta")+COUNTIF('02_Controla'!$I$65:$I$75,"En proceso"),IF($H$5="CERRADA",IFERROR(COUNTIF('02_Controla'!$Q$39:$Q$56,"A tiempo")/(COUNTIF('02_Controla'!$Q$39:$Q$56,"A tiempo")+COUNTIF('02_Controla'!$Q$39:$Q$56,"Atrasada")),0),COUNTIF('02_Controla'!$I$65:$I$75,"Abierta")+COUNTIF('02_Controla'!$I$65:$I$75,"En proceso")))</f>
        <v>0</v>
      </c>
      <c r="K17" s="199"/>
      <c r="L17" s="200"/>
    </row>
    <row r="18" spans="1:12">
      <c r="A18" s="182"/>
      <c r="B18" s="183"/>
      <c r="C18" s="184"/>
      <c r="D18" s="182"/>
      <c r="E18" s="183"/>
      <c r="F18" s="184"/>
      <c r="G18" s="191"/>
      <c r="H18" s="192"/>
      <c r="I18" s="193"/>
      <c r="J18" s="201"/>
      <c r="K18" s="202"/>
      <c r="L18" s="203"/>
    </row>
    <row r="19" spans="1:12">
      <c r="A19" s="185"/>
      <c r="B19" s="186"/>
      <c r="C19" s="187"/>
      <c r="D19" s="185"/>
      <c r="E19" s="186"/>
      <c r="F19" s="187"/>
      <c r="G19" s="194"/>
      <c r="H19" s="195"/>
      <c r="I19" s="196"/>
      <c r="J19" s="204"/>
      <c r="K19" s="205"/>
      <c r="L19" s="206"/>
    </row>
    <row r="20" spans="1:12">
      <c r="A20" s="165" t="str">
        <f>IF($H$5="EN CURSO","prospectos activos",IF($H$5="CERRADA","ventas netas","cupos disponibles"))</f>
        <v>cupos disponibles</v>
      </c>
      <c r="B20" s="165"/>
      <c r="C20" s="165"/>
      <c r="D20" s="165" t="str">
        <f>IF($H$5="EN CURSO","servicios registrados",IF($H$5="CERRADA","contribución","tareas abiertas"))</f>
        <v>tareas abiertas</v>
      </c>
      <c r="E20" s="165"/>
      <c r="F20" s="165"/>
      <c r="G20" s="165" t="s">
        <v>32</v>
      </c>
      <c r="H20" s="165"/>
      <c r="I20" s="165"/>
      <c r="J20" s="165" t="str">
        <f>IF($H$5="EN CURSO","servicios + incidencias",IF($H$5="CERRADA","% de servicios a tiempo","casos abiertos"))</f>
        <v>casos abiertos</v>
      </c>
      <c r="K20" s="166"/>
      <c r="L20" s="166"/>
    </row>
    <row r="22" spans="1:12">
      <c r="A22" s="72" t="s">
        <v>33</v>
      </c>
      <c r="B22" s="72"/>
      <c r="C22" s="72"/>
      <c r="D22" s="72"/>
      <c r="E22" s="72"/>
      <c r="F22" s="72"/>
      <c r="G22" s="72"/>
      <c r="H22" s="72"/>
      <c r="I22" s="72"/>
      <c r="J22" s="72"/>
      <c r="K22" s="89"/>
      <c r="L22" s="89"/>
    </row>
    <row r="23" spans="1:12" ht="9.9" customHeight="1">
      <c r="A23" s="14" t="s">
        <v>34</v>
      </c>
      <c r="B23" s="15" t="s">
        <v>35</v>
      </c>
      <c r="C23" s="15" t="s">
        <v>36</v>
      </c>
      <c r="D23" s="16" t="s">
        <v>37</v>
      </c>
      <c r="F23" s="103" t="str">
        <f>IF(COUNTIF($B$24:$B$28,"PENDIENTE")=0,"TODO LISTO. Tu campaña puede comenzar.
Confirma el arranque y después usa Controla para clientes, cobros, reservaciones, servicios e incidencias.","Aún no actives la campaña.
Revisa los criterios pendientes de la izquierda. Cuando todos estén LISTO, podrás pasar a operación.")</f>
        <v>Aún no actives la campaña.
Revisa los criterios pendientes de la izquierda. Cuando todos estén LISTO, podrás pasar a operación.</v>
      </c>
      <c r="G23" s="104"/>
      <c r="H23" s="104"/>
      <c r="I23" s="104"/>
      <c r="J23" s="105"/>
      <c r="K23" s="106"/>
      <c r="L23" s="107"/>
    </row>
    <row r="24" spans="1:12" ht="27.6">
      <c r="A24" s="17" t="s">
        <v>38</v>
      </c>
      <c r="B24" s="18" t="str">
        <f>IF($B$13="Sí","LISTO","PENDIENTE")</f>
        <v>LISTO</v>
      </c>
      <c r="C24" s="19" t="s">
        <v>39</v>
      </c>
      <c r="D24" s="19" t="s">
        <v>40</v>
      </c>
      <c r="F24" s="108"/>
      <c r="G24" s="109"/>
      <c r="H24" s="109"/>
      <c r="I24" s="109"/>
      <c r="J24" s="110"/>
      <c r="K24" s="111"/>
      <c r="L24" s="112"/>
    </row>
    <row r="25" spans="1:12">
      <c r="A25" s="17" t="s">
        <v>41</v>
      </c>
      <c r="B25" s="18" t="str">
        <f>IF($B$11="Sí","LISTO","PENDIENTE")</f>
        <v>LISTO</v>
      </c>
      <c r="C25" s="19" t="s">
        <v>42</v>
      </c>
      <c r="D25" s="19" t="s">
        <v>43</v>
      </c>
      <c r="F25" s="108"/>
      <c r="G25" s="109"/>
      <c r="H25" s="109"/>
      <c r="I25" s="109"/>
      <c r="J25" s="110"/>
      <c r="K25" s="111"/>
      <c r="L25" s="112"/>
    </row>
    <row r="26" spans="1:12">
      <c r="A26" s="17" t="s">
        <v>44</v>
      </c>
      <c r="B26" s="18" t="str">
        <f>IF(AND('01_Alistate'!$B$4="Sí",IFERROR(SUM('01_Alistate'!$K$10:$K$18),0)&gt;0),"LISTO","PENDIENTE")</f>
        <v>LISTO</v>
      </c>
      <c r="C26" s="19" t="s">
        <v>45</v>
      </c>
      <c r="D26" s="19" t="s">
        <v>46</v>
      </c>
      <c r="F26" s="108"/>
      <c r="G26" s="109"/>
      <c r="H26" s="109"/>
      <c r="I26" s="109"/>
      <c r="J26" s="110"/>
      <c r="K26" s="111"/>
      <c r="L26" s="112"/>
    </row>
    <row r="27" spans="1:12">
      <c r="A27" s="17" t="s">
        <v>47</v>
      </c>
      <c r="B27" s="18" t="str">
        <f>IF($B$12="Sí","LISTO","PENDIENTE")</f>
        <v>LISTO</v>
      </c>
      <c r="C27" s="19" t="s">
        <v>48</v>
      </c>
      <c r="D27" s="19" t="s">
        <v>49</v>
      </c>
      <c r="F27" s="108"/>
      <c r="G27" s="109"/>
      <c r="H27" s="109"/>
      <c r="I27" s="109"/>
      <c r="J27" s="110"/>
      <c r="K27" s="111"/>
      <c r="L27" s="112"/>
    </row>
    <row r="28" spans="1:12">
      <c r="A28" s="17" t="s">
        <v>50</v>
      </c>
      <c r="B28" s="18" t="str">
        <f>IF(COUNTIFS('01_Alistate'!$A$26:$A$125,"&lt;&gt;",'01_Alistate'!$E$26:$E$125,"&lt;&gt;Terminado")=0,"LISTO","PENDIENTE")</f>
        <v>PENDIENTE</v>
      </c>
      <c r="C28" s="19" t="s">
        <v>51</v>
      </c>
      <c r="D28" s="19" t="s">
        <v>52</v>
      </c>
      <c r="F28" s="113"/>
      <c r="G28" s="114"/>
      <c r="H28" s="114"/>
      <c r="I28" s="114"/>
      <c r="J28" s="115"/>
      <c r="K28" s="116"/>
      <c r="L28" s="117"/>
    </row>
    <row r="30" spans="1:12">
      <c r="A30" s="9" t="s">
        <v>53</v>
      </c>
      <c r="B30" s="10" t="s">
        <v>54</v>
      </c>
    </row>
    <row r="32" spans="1:12">
      <c r="A32" s="54" t="s">
        <v>55</v>
      </c>
      <c r="B32" s="54"/>
      <c r="C32" s="54"/>
      <c r="D32" s="54"/>
      <c r="E32" s="54"/>
      <c r="F32" s="54"/>
      <c r="G32" s="54"/>
      <c r="H32" s="54"/>
      <c r="I32" s="54"/>
      <c r="J32" s="54"/>
      <c r="K32" s="73"/>
      <c r="L32" s="73"/>
    </row>
    <row r="33" spans="1:12">
      <c r="A33" s="118" t="str">
        <f>IF(COUNTIF($B$24:$B$28,"PENDIENTE")&gt;0,"Completa Alístate hasta que los cinco criterios de activación estén en LISTO.",IF($B$30&lt;&gt;"Sí","Todo está listo. Confirma “Sí” en Iniciar campaña.",IF(COUNTIF('02_Controla'!$D$23:$D$33,"&lt;&gt;")=0,"Campaña activa. Cuando lleguen interesados o ventas, usa 02_Controla.","Revisa hoy cobros, servicios e incidencias; después consulta 03_Cierra.")))</f>
        <v>Completa Alístate hasta que los cinco criterios de activación estén en LISTO.</v>
      </c>
      <c r="B33" s="119"/>
      <c r="C33" s="119"/>
      <c r="D33" s="119"/>
      <c r="E33" s="119"/>
      <c r="F33" s="119"/>
      <c r="G33" s="119"/>
      <c r="H33" s="119"/>
      <c r="I33" s="119"/>
      <c r="J33" s="120"/>
      <c r="K33" s="121"/>
      <c r="L33" s="122"/>
    </row>
    <row r="34" spans="1:12">
      <c r="A34" s="123"/>
      <c r="B34" s="124"/>
      <c r="C34" s="124"/>
      <c r="D34" s="124"/>
      <c r="E34" s="124"/>
      <c r="F34" s="124"/>
      <c r="G34" s="124"/>
      <c r="H34" s="124"/>
      <c r="I34" s="124"/>
      <c r="J34" s="125"/>
      <c r="K34" s="126"/>
      <c r="L34" s="127"/>
    </row>
    <row r="35" spans="1:12">
      <c r="A35" s="128"/>
      <c r="B35" s="129"/>
      <c r="C35" s="129"/>
      <c r="D35" s="129"/>
      <c r="E35" s="129"/>
      <c r="F35" s="129"/>
      <c r="G35" s="129"/>
      <c r="H35" s="129"/>
      <c r="I35" s="129"/>
      <c r="J35" s="130"/>
      <c r="K35" s="126"/>
      <c r="L35" s="127"/>
    </row>
    <row r="36" spans="1:12">
      <c r="A36" s="131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3"/>
    </row>
    <row r="38" spans="1:12">
      <c r="A38" s="134" t="s">
        <v>56</v>
      </c>
      <c r="B38" s="134"/>
      <c r="C38" s="134"/>
      <c r="D38" s="134"/>
      <c r="E38" s="134"/>
      <c r="F38" s="134"/>
      <c r="G38" s="134"/>
      <c r="H38" s="134"/>
      <c r="I38" s="134"/>
      <c r="J38" s="134"/>
      <c r="K38" s="74"/>
      <c r="L38" s="74"/>
    </row>
    <row r="39" spans="1:12">
      <c r="A39" s="135" t="s">
        <v>57</v>
      </c>
      <c r="B39" s="136"/>
      <c r="C39" s="137"/>
      <c r="D39" s="135" t="s">
        <v>58</v>
      </c>
      <c r="E39" s="136"/>
      <c r="F39" s="137"/>
      <c r="G39" s="135" t="s">
        <v>59</v>
      </c>
      <c r="H39" s="136"/>
      <c r="I39" s="137"/>
      <c r="J39" s="156" t="s">
        <v>60</v>
      </c>
      <c r="K39" s="157"/>
      <c r="L39" s="158"/>
    </row>
    <row r="40" spans="1:12">
      <c r="A40" s="138"/>
      <c r="B40" s="139"/>
      <c r="C40" s="140"/>
      <c r="D40" s="144"/>
      <c r="E40" s="145"/>
      <c r="F40" s="146"/>
      <c r="G40" s="150"/>
      <c r="H40" s="151"/>
      <c r="I40" s="152"/>
      <c r="J40" s="159"/>
      <c r="K40" s="160"/>
      <c r="L40" s="161"/>
    </row>
    <row r="41" spans="1:12">
      <c r="A41" s="141"/>
      <c r="B41" s="142"/>
      <c r="C41" s="143"/>
      <c r="D41" s="147"/>
      <c r="E41" s="148"/>
      <c r="F41" s="149"/>
      <c r="G41" s="153"/>
      <c r="H41" s="154"/>
      <c r="I41" s="155"/>
      <c r="J41" s="162"/>
      <c r="K41" s="163"/>
      <c r="L41" s="164"/>
    </row>
  </sheetData>
  <mergeCells count="34">
    <mergeCell ref="A1:L1"/>
    <mergeCell ref="A2:L2"/>
    <mergeCell ref="A4:F4"/>
    <mergeCell ref="H4:L4"/>
    <mergeCell ref="H5:L7"/>
    <mergeCell ref="E5:F5"/>
    <mergeCell ref="E6:F6"/>
    <mergeCell ref="E7:F7"/>
    <mergeCell ref="H8:L10"/>
    <mergeCell ref="A15:L15"/>
    <mergeCell ref="A16:C16"/>
    <mergeCell ref="A17:C19"/>
    <mergeCell ref="D16:F16"/>
    <mergeCell ref="D17:F19"/>
    <mergeCell ref="G16:I16"/>
    <mergeCell ref="G17:I19"/>
    <mergeCell ref="J16:L16"/>
    <mergeCell ref="J17:L19"/>
    <mergeCell ref="E8:F8"/>
    <mergeCell ref="E9:F10"/>
    <mergeCell ref="E11:F11"/>
    <mergeCell ref="A20:C20"/>
    <mergeCell ref="D20:F20"/>
    <mergeCell ref="G20:I20"/>
    <mergeCell ref="J20:L20"/>
    <mergeCell ref="A22:L22"/>
    <mergeCell ref="F23:L28"/>
    <mergeCell ref="A33:L36"/>
    <mergeCell ref="A38:L38"/>
    <mergeCell ref="A39:C41"/>
    <mergeCell ref="D39:F41"/>
    <mergeCell ref="G39:I41"/>
    <mergeCell ref="J39:L41"/>
    <mergeCell ref="A32:L32"/>
  </mergeCells>
  <conditionalFormatting sqref="B24:B28">
    <cfRule type="expression" dxfId="38" priority="15">
      <formula>B24="LISTO"</formula>
    </cfRule>
    <cfRule type="expression" dxfId="37" priority="16">
      <formula>B24="PENDIENTE"</formula>
    </cfRule>
  </conditionalFormatting>
  <conditionalFormatting sqref="B30">
    <cfRule type="expression" dxfId="36" priority="6">
      <formula>AND(B30="Sí",COUNTIF($B$24:$B$28,"PENDIENTE")&gt;0)</formula>
    </cfRule>
  </conditionalFormatting>
  <conditionalFormatting sqref="D17">
    <cfRule type="expression" dxfId="35" priority="17">
      <formula>D17&gt;0</formula>
    </cfRule>
  </conditionalFormatting>
  <conditionalFormatting sqref="G17">
    <cfRule type="expression" dxfId="34" priority="18">
      <formula>G17&gt;0</formula>
    </cfRule>
  </conditionalFormatting>
  <conditionalFormatting sqref="H5:J7">
    <cfRule type="expression" dxfId="33" priority="11">
      <formula>H5="PREPARANDO"</formula>
    </cfRule>
    <cfRule type="expression" dxfId="32" priority="12">
      <formula>H5="LISTA PARA COMENZAR"</formula>
    </cfRule>
    <cfRule type="expression" dxfId="31" priority="13">
      <formula>H5="EN CURSO"</formula>
    </cfRule>
    <cfRule type="expression" dxfId="30" priority="14">
      <formula>H5="CERRADA"</formula>
    </cfRule>
  </conditionalFormatting>
  <conditionalFormatting sqref="H5:L7">
    <cfRule type="expression" dxfId="29" priority="7">
      <formula>H5="LISTA PARA COMENZAR"</formula>
    </cfRule>
    <cfRule type="expression" dxfId="28" priority="8">
      <formula>H5="PREPARANDO"</formula>
    </cfRule>
    <cfRule type="expression" dxfId="27" priority="9">
      <formula>H5="EN CURSO"</formula>
    </cfRule>
    <cfRule type="expression" dxfId="26" priority="10">
      <formula>H5="CERRADA"</formula>
    </cfRule>
  </conditionalFormatting>
  <conditionalFormatting sqref="J17">
    <cfRule type="expression" dxfId="25" priority="19">
      <formula>J17&gt;0</formula>
    </cfRule>
  </conditionalFormatting>
  <dataValidations count="3">
    <dataValidation type="list" sqref="B30 B11:B13" xr:uid="{00000000-0002-0000-0000-000000000000}">
      <formula1>"Sí,No"</formula1>
    </dataValidation>
    <dataValidation type="date" allowBlank="1" sqref="B8:B9" xr:uid="{00000000-0002-0000-0000-000001000000}">
      <formula1>DATE(2020,1,1)</formula1>
      <formula2>DATE(2100,12,31)</formula2>
    </dataValidation>
    <dataValidation type="decimal" operator="greaterThanOrEqual" allowBlank="1" sqref="B10 E11:F11" xr:uid="{00000000-0002-0000-0000-000002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5"/>
  <sheetViews>
    <sheetView workbookViewId="0">
      <selection activeCell="A16" sqref="A16"/>
    </sheetView>
  </sheetViews>
  <sheetFormatPr defaultRowHeight="13.8"/>
  <cols>
    <col min="1" max="1" width="28" customWidth="1"/>
    <col min="2" max="3" width="14" customWidth="1"/>
    <col min="4" max="4" width="22" customWidth="1"/>
    <col min="5" max="8" width="14" customWidth="1"/>
    <col min="9" max="9" width="17" customWidth="1"/>
    <col min="10" max="10" width="18" customWidth="1"/>
    <col min="11" max="11" width="17" customWidth="1"/>
    <col min="12" max="12" width="16" customWidth="1"/>
  </cols>
  <sheetData>
    <row r="1" spans="1:12" ht="28.8" customHeight="1">
      <c r="A1" s="84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>
      <c r="A2" s="227" t="s">
        <v>62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4" spans="1:12">
      <c r="A4" s="9" t="s">
        <v>63</v>
      </c>
      <c r="B4" s="10" t="s">
        <v>26</v>
      </c>
    </row>
    <row r="5" spans="1:12">
      <c r="A5" s="9" t="s">
        <v>64</v>
      </c>
      <c r="B5" s="10" t="s">
        <v>14</v>
      </c>
    </row>
    <row r="6" spans="1:12">
      <c r="A6" s="9" t="s">
        <v>65</v>
      </c>
      <c r="B6" s="10">
        <v>2</v>
      </c>
    </row>
    <row r="7" spans="1:12">
      <c r="A7" s="72" t="s">
        <v>66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2" ht="14.4">
      <c r="A8" s="226" t="s">
        <v>67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</row>
    <row r="9" spans="1:12" ht="21.45" customHeight="1">
      <c r="A9" s="14" t="s">
        <v>14</v>
      </c>
      <c r="B9" s="15" t="s">
        <v>68</v>
      </c>
      <c r="C9" s="15" t="s">
        <v>69</v>
      </c>
      <c r="D9" s="15" t="s">
        <v>70</v>
      </c>
      <c r="E9" s="15" t="s">
        <v>71</v>
      </c>
      <c r="F9" s="15" t="s">
        <v>72</v>
      </c>
      <c r="G9" s="15" t="s">
        <v>73</v>
      </c>
      <c r="H9" s="15" t="s">
        <v>74</v>
      </c>
      <c r="I9" s="15" t="s">
        <v>75</v>
      </c>
      <c r="J9" s="15" t="s">
        <v>76</v>
      </c>
      <c r="K9" s="15" t="s">
        <v>77</v>
      </c>
      <c r="L9" s="16" t="s">
        <v>35</v>
      </c>
    </row>
    <row r="10" spans="1:12">
      <c r="A10" s="10" t="s">
        <v>78</v>
      </c>
      <c r="B10" s="11">
        <v>46339</v>
      </c>
      <c r="C10" s="20" t="s">
        <v>79</v>
      </c>
      <c r="D10" s="10" t="s">
        <v>80</v>
      </c>
      <c r="E10" s="21">
        <v>10</v>
      </c>
      <c r="F10" s="21">
        <v>2</v>
      </c>
      <c r="G10" s="21">
        <v>3</v>
      </c>
      <c r="H10" s="21">
        <v>60</v>
      </c>
      <c r="I10" s="21">
        <v>15</v>
      </c>
      <c r="J10" s="10" t="s">
        <v>81</v>
      </c>
      <c r="K10" s="22">
        <f t="shared" ref="K10:K18" si="0">IF(E10="","",MAX(0,E10-IF(F10="",0,F10)-IF(G10="",0,G10)))</f>
        <v>5</v>
      </c>
      <c r="L10" s="23" t="str">
        <f t="shared" ref="L10:L18" si="1">IF(K10="","",IF(K10&lt;=0,"AGOTADO",IF(K10&lt;=$B$6,"POR AGOTARSE","DISPONIBLE")))</f>
        <v>DISPONIBLE</v>
      </c>
    </row>
    <row r="11" spans="1:12">
      <c r="A11" s="10"/>
      <c r="B11" s="11"/>
      <c r="C11" s="20"/>
      <c r="D11" s="10"/>
      <c r="E11" s="21"/>
      <c r="F11" s="21"/>
      <c r="G11" s="21"/>
      <c r="H11" s="21"/>
      <c r="I11" s="21"/>
      <c r="J11" s="10"/>
      <c r="K11" s="22" t="str">
        <f t="shared" si="0"/>
        <v/>
      </c>
      <c r="L11" s="23" t="str">
        <f t="shared" si="1"/>
        <v/>
      </c>
    </row>
    <row r="12" spans="1:12">
      <c r="A12" s="10"/>
      <c r="B12" s="11"/>
      <c r="C12" s="20"/>
      <c r="D12" s="10"/>
      <c r="E12" s="21"/>
      <c r="F12" s="21"/>
      <c r="G12" s="21"/>
      <c r="H12" s="21"/>
      <c r="I12" s="21"/>
      <c r="J12" s="10"/>
      <c r="K12" s="22" t="str">
        <f t="shared" si="0"/>
        <v/>
      </c>
      <c r="L12" s="23" t="str">
        <f t="shared" si="1"/>
        <v/>
      </c>
    </row>
    <row r="13" spans="1:12">
      <c r="A13" s="10"/>
      <c r="B13" s="11"/>
      <c r="C13" s="20"/>
      <c r="D13" s="10"/>
      <c r="E13" s="21"/>
      <c r="F13" s="21"/>
      <c r="G13" s="21"/>
      <c r="H13" s="21"/>
      <c r="I13" s="21"/>
      <c r="J13" s="10"/>
      <c r="K13" s="22" t="str">
        <f t="shared" si="0"/>
        <v/>
      </c>
      <c r="L13" s="23" t="str">
        <f t="shared" si="1"/>
        <v/>
      </c>
    </row>
    <row r="14" spans="1:12">
      <c r="A14" s="10"/>
      <c r="B14" s="11"/>
      <c r="C14" s="20"/>
      <c r="D14" s="10"/>
      <c r="E14" s="21"/>
      <c r="F14" s="21"/>
      <c r="G14" s="21"/>
      <c r="H14" s="21"/>
      <c r="I14" s="21"/>
      <c r="J14" s="10"/>
      <c r="K14" s="22" t="str">
        <f t="shared" si="0"/>
        <v/>
      </c>
      <c r="L14" s="23" t="str">
        <f t="shared" si="1"/>
        <v/>
      </c>
    </row>
    <row r="15" spans="1:12">
      <c r="A15" s="10"/>
      <c r="B15" s="11"/>
      <c r="C15" s="20"/>
      <c r="D15" s="10"/>
      <c r="E15" s="21"/>
      <c r="F15" s="21"/>
      <c r="G15" s="21"/>
      <c r="H15" s="21"/>
      <c r="I15" s="21"/>
      <c r="J15" s="10"/>
      <c r="K15" s="22" t="str">
        <f t="shared" si="0"/>
        <v/>
      </c>
      <c r="L15" s="23" t="str">
        <f t="shared" si="1"/>
        <v/>
      </c>
    </row>
    <row r="16" spans="1:12">
      <c r="A16" s="10"/>
      <c r="B16" s="11"/>
      <c r="C16" s="20"/>
      <c r="D16" s="10"/>
      <c r="E16" s="21"/>
      <c r="F16" s="21"/>
      <c r="G16" s="21"/>
      <c r="H16" s="21"/>
      <c r="I16" s="21"/>
      <c r="J16" s="10"/>
      <c r="K16" s="22" t="str">
        <f t="shared" si="0"/>
        <v/>
      </c>
      <c r="L16" s="23" t="str">
        <f t="shared" si="1"/>
        <v/>
      </c>
    </row>
    <row r="17" spans="1:12">
      <c r="A17" s="10"/>
      <c r="B17" s="11"/>
      <c r="C17" s="20"/>
      <c r="D17" s="10"/>
      <c r="E17" s="21"/>
      <c r="F17" s="21"/>
      <c r="G17" s="21"/>
      <c r="H17" s="21"/>
      <c r="I17" s="21"/>
      <c r="J17" s="10"/>
      <c r="K17" s="22" t="str">
        <f t="shared" si="0"/>
        <v/>
      </c>
      <c r="L17" s="23" t="str">
        <f t="shared" si="1"/>
        <v/>
      </c>
    </row>
    <row r="18" spans="1:12">
      <c r="A18" s="10"/>
      <c r="B18" s="11"/>
      <c r="C18" s="20"/>
      <c r="D18" s="10"/>
      <c r="E18" s="21"/>
      <c r="F18" s="21"/>
      <c r="G18" s="21"/>
      <c r="H18" s="21"/>
      <c r="I18" s="21"/>
      <c r="J18" s="10"/>
      <c r="K18" s="22" t="str">
        <f t="shared" si="0"/>
        <v/>
      </c>
      <c r="L18" s="23" t="str">
        <f t="shared" si="1"/>
        <v/>
      </c>
    </row>
    <row r="22" spans="1:12">
      <c r="A22" s="54" t="s">
        <v>82</v>
      </c>
      <c r="B22" s="54"/>
      <c r="C22" s="54"/>
      <c r="D22" s="54"/>
      <c r="E22" s="54"/>
      <c r="F22" s="54"/>
      <c r="G22" s="54"/>
      <c r="H22" s="54"/>
      <c r="J22" s="54" t="s">
        <v>83</v>
      </c>
      <c r="K22" s="54"/>
      <c r="L22" s="54"/>
    </row>
    <row r="23" spans="1:12" ht="14.4">
      <c r="A23" s="226" t="s">
        <v>84</v>
      </c>
      <c r="B23" s="226"/>
      <c r="C23" s="226"/>
      <c r="D23" s="226"/>
      <c r="E23" s="226"/>
      <c r="F23" s="226"/>
      <c r="G23" s="226"/>
      <c r="H23" s="226"/>
    </row>
    <row r="24" spans="1:12">
      <c r="J24" s="14" t="s">
        <v>85</v>
      </c>
      <c r="K24" s="16" t="s">
        <v>86</v>
      </c>
    </row>
    <row r="25" spans="1:12">
      <c r="A25" s="14" t="s">
        <v>87</v>
      </c>
      <c r="B25" s="15" t="s">
        <v>88</v>
      </c>
      <c r="C25" s="15" t="s">
        <v>76</v>
      </c>
      <c r="D25" s="15" t="s">
        <v>89</v>
      </c>
      <c r="E25" s="15" t="s">
        <v>35</v>
      </c>
      <c r="F25" s="15" t="s">
        <v>90</v>
      </c>
      <c r="G25" s="15" t="s">
        <v>91</v>
      </c>
      <c r="H25" s="16" t="s">
        <v>92</v>
      </c>
      <c r="J25" s="9" t="s">
        <v>77</v>
      </c>
      <c r="K25" s="24">
        <f>IFERROR(SUM($K$10:$K$18),0)</f>
        <v>5</v>
      </c>
    </row>
    <row r="26" spans="1:12" ht="27.6">
      <c r="A26" s="10" t="s">
        <v>93</v>
      </c>
      <c r="B26" s="10" t="s">
        <v>94</v>
      </c>
      <c r="C26" s="10" t="s">
        <v>95</v>
      </c>
      <c r="D26" s="11">
        <v>46334</v>
      </c>
      <c r="E26" s="10" t="s">
        <v>96</v>
      </c>
      <c r="F26" s="10" t="s">
        <v>38</v>
      </c>
      <c r="G26" s="10" t="s">
        <v>97</v>
      </c>
      <c r="H26" s="23" t="str">
        <f t="shared" ref="H26:H57" ca="1" si="2">IF(A26="","",IF(E26="Bloqueado","BLOQUEADO",IF(AND(E26="Terminado",G26=""),"SIN EVIDENCIA",IF(AND(E26&lt;&gt;"Terminado",D26&lt;&gt;"",D26&lt;TODAY()),"VENCIDA",""))))</f>
        <v/>
      </c>
      <c r="J26" s="9" t="s">
        <v>98</v>
      </c>
      <c r="K26" s="24">
        <f>COUNTIFS($A$26:$A$125,"&lt;&gt;",$E$26:$E$125,"&lt;&gt;Terminado")</f>
        <v>2</v>
      </c>
    </row>
    <row r="27" spans="1:12">
      <c r="A27" s="10" t="s">
        <v>99</v>
      </c>
      <c r="B27" s="10" t="s">
        <v>94</v>
      </c>
      <c r="C27" s="10" t="s">
        <v>100</v>
      </c>
      <c r="D27" s="11">
        <v>46335</v>
      </c>
      <c r="E27" s="10" t="s">
        <v>101</v>
      </c>
      <c r="F27" s="10" t="s">
        <v>102</v>
      </c>
      <c r="G27" s="10"/>
      <c r="H27" s="23" t="str">
        <f t="shared" ca="1" si="2"/>
        <v/>
      </c>
      <c r="J27" s="9" t="s">
        <v>103</v>
      </c>
      <c r="K27" s="24">
        <f ca="1">COUNTIF($H$26:$H$125,"BLOQUEADO")</f>
        <v>0</v>
      </c>
    </row>
    <row r="28" spans="1:12">
      <c r="A28" s="10" t="s">
        <v>104</v>
      </c>
      <c r="B28" s="10" t="s">
        <v>94</v>
      </c>
      <c r="C28" s="10" t="s">
        <v>105</v>
      </c>
      <c r="D28" s="11">
        <v>46336</v>
      </c>
      <c r="E28" s="10" t="s">
        <v>106</v>
      </c>
      <c r="F28" s="10" t="s">
        <v>107</v>
      </c>
      <c r="G28" s="10"/>
      <c r="H28" s="23" t="str">
        <f t="shared" ca="1" si="2"/>
        <v/>
      </c>
      <c r="J28" s="9" t="s">
        <v>108</v>
      </c>
      <c r="K28" s="24">
        <f ca="1">COUNTIF($H$26:$H$125,"VENCIDA")</f>
        <v>0</v>
      </c>
    </row>
    <row r="29" spans="1:12">
      <c r="A29" s="10"/>
      <c r="B29" s="10"/>
      <c r="C29" s="10"/>
      <c r="D29" s="11"/>
      <c r="E29" s="10"/>
      <c r="F29" s="10"/>
      <c r="G29" s="10"/>
      <c r="H29" s="23" t="str">
        <f t="shared" ca="1" si="2"/>
        <v/>
      </c>
    </row>
    <row r="30" spans="1:12">
      <c r="A30" s="10"/>
      <c r="B30" s="10"/>
      <c r="C30" s="10"/>
      <c r="D30" s="11"/>
      <c r="E30" s="10"/>
      <c r="F30" s="10"/>
      <c r="G30" s="10"/>
      <c r="H30" s="23" t="str">
        <f t="shared" ca="1" si="2"/>
        <v/>
      </c>
    </row>
    <row r="31" spans="1:12">
      <c r="A31" s="10"/>
      <c r="B31" s="10"/>
      <c r="C31" s="10"/>
      <c r="D31" s="11"/>
      <c r="E31" s="10"/>
      <c r="F31" s="10"/>
      <c r="G31" s="10"/>
      <c r="H31" s="23" t="str">
        <f t="shared" ca="1" si="2"/>
        <v/>
      </c>
    </row>
    <row r="32" spans="1:12">
      <c r="A32" s="10"/>
      <c r="B32" s="10"/>
      <c r="C32" s="10"/>
      <c r="D32" s="11"/>
      <c r="E32" s="10"/>
      <c r="F32" s="10"/>
      <c r="G32" s="10"/>
      <c r="H32" s="23" t="str">
        <f t="shared" ca="1" si="2"/>
        <v/>
      </c>
    </row>
    <row r="33" spans="1:8">
      <c r="A33" s="10"/>
      <c r="B33" s="10"/>
      <c r="C33" s="10"/>
      <c r="D33" s="11"/>
      <c r="E33" s="10"/>
      <c r="F33" s="10"/>
      <c r="G33" s="10"/>
      <c r="H33" s="23" t="str">
        <f t="shared" ca="1" si="2"/>
        <v/>
      </c>
    </row>
    <row r="34" spans="1:8">
      <c r="A34" s="10"/>
      <c r="B34" s="10"/>
      <c r="C34" s="10"/>
      <c r="D34" s="11"/>
      <c r="E34" s="10"/>
      <c r="F34" s="10"/>
      <c r="G34" s="10"/>
      <c r="H34" s="23" t="str">
        <f t="shared" ca="1" si="2"/>
        <v/>
      </c>
    </row>
    <row r="35" spans="1:8">
      <c r="A35" s="10"/>
      <c r="B35" s="10"/>
      <c r="C35" s="10"/>
      <c r="D35" s="11"/>
      <c r="E35" s="10"/>
      <c r="F35" s="10"/>
      <c r="G35" s="10"/>
      <c r="H35" s="23" t="str">
        <f t="shared" ca="1" si="2"/>
        <v/>
      </c>
    </row>
    <row r="36" spans="1:8">
      <c r="A36" s="10"/>
      <c r="B36" s="10"/>
      <c r="C36" s="10"/>
      <c r="D36" s="11"/>
      <c r="E36" s="10"/>
      <c r="F36" s="10"/>
      <c r="G36" s="10"/>
      <c r="H36" s="23" t="str">
        <f t="shared" ca="1" si="2"/>
        <v/>
      </c>
    </row>
    <row r="37" spans="1:8">
      <c r="A37" s="10"/>
      <c r="B37" s="10"/>
      <c r="C37" s="10"/>
      <c r="D37" s="11"/>
      <c r="E37" s="10"/>
      <c r="F37" s="10"/>
      <c r="G37" s="10"/>
      <c r="H37" s="23" t="str">
        <f t="shared" ca="1" si="2"/>
        <v/>
      </c>
    </row>
    <row r="38" spans="1:8">
      <c r="A38" s="10"/>
      <c r="B38" s="10"/>
      <c r="C38" s="10"/>
      <c r="D38" s="11"/>
      <c r="E38" s="10"/>
      <c r="F38" s="10"/>
      <c r="G38" s="10"/>
      <c r="H38" s="23" t="str">
        <f t="shared" ca="1" si="2"/>
        <v/>
      </c>
    </row>
    <row r="39" spans="1:8">
      <c r="A39" s="10"/>
      <c r="B39" s="10"/>
      <c r="C39" s="10"/>
      <c r="D39" s="11"/>
      <c r="E39" s="10"/>
      <c r="F39" s="10"/>
      <c r="G39" s="10"/>
      <c r="H39" s="23" t="str">
        <f t="shared" ca="1" si="2"/>
        <v/>
      </c>
    </row>
    <row r="40" spans="1:8">
      <c r="A40" s="10"/>
      <c r="B40" s="10"/>
      <c r="C40" s="10"/>
      <c r="D40" s="11"/>
      <c r="E40" s="10"/>
      <c r="F40" s="10"/>
      <c r="G40" s="10"/>
      <c r="H40" s="23" t="str">
        <f t="shared" ca="1" si="2"/>
        <v/>
      </c>
    </row>
    <row r="41" spans="1:8">
      <c r="A41" s="10"/>
      <c r="B41" s="10"/>
      <c r="C41" s="10"/>
      <c r="D41" s="11"/>
      <c r="E41" s="10"/>
      <c r="F41" s="10"/>
      <c r="G41" s="10"/>
      <c r="H41" s="23" t="str">
        <f t="shared" ca="1" si="2"/>
        <v/>
      </c>
    </row>
    <row r="42" spans="1:8">
      <c r="A42" s="10"/>
      <c r="B42" s="10"/>
      <c r="C42" s="10"/>
      <c r="D42" s="11"/>
      <c r="E42" s="10"/>
      <c r="F42" s="10"/>
      <c r="G42" s="10"/>
      <c r="H42" s="23" t="str">
        <f t="shared" ca="1" si="2"/>
        <v/>
      </c>
    </row>
    <row r="43" spans="1:8">
      <c r="A43" s="10"/>
      <c r="B43" s="10"/>
      <c r="C43" s="10"/>
      <c r="D43" s="11"/>
      <c r="E43" s="10"/>
      <c r="F43" s="10"/>
      <c r="G43" s="10"/>
      <c r="H43" s="23" t="str">
        <f t="shared" ca="1" si="2"/>
        <v/>
      </c>
    </row>
    <row r="44" spans="1:8">
      <c r="A44" s="10"/>
      <c r="B44" s="10"/>
      <c r="C44" s="10"/>
      <c r="D44" s="11"/>
      <c r="E44" s="10"/>
      <c r="F44" s="10"/>
      <c r="G44" s="10"/>
      <c r="H44" s="23" t="str">
        <f t="shared" ca="1" si="2"/>
        <v/>
      </c>
    </row>
    <row r="45" spans="1:8">
      <c r="A45" s="10"/>
      <c r="B45" s="10"/>
      <c r="C45" s="10"/>
      <c r="D45" s="11"/>
      <c r="E45" s="10"/>
      <c r="F45" s="10"/>
      <c r="G45" s="10"/>
      <c r="H45" s="23" t="str">
        <f t="shared" ca="1" si="2"/>
        <v/>
      </c>
    </row>
    <row r="46" spans="1:8">
      <c r="A46" s="10"/>
      <c r="B46" s="10"/>
      <c r="C46" s="10"/>
      <c r="D46" s="11"/>
      <c r="E46" s="10"/>
      <c r="F46" s="10"/>
      <c r="G46" s="10"/>
      <c r="H46" s="23" t="str">
        <f t="shared" ca="1" si="2"/>
        <v/>
      </c>
    </row>
    <row r="47" spans="1:8">
      <c r="A47" s="10"/>
      <c r="B47" s="10"/>
      <c r="C47" s="10"/>
      <c r="D47" s="11"/>
      <c r="E47" s="10"/>
      <c r="F47" s="10"/>
      <c r="G47" s="10"/>
      <c r="H47" s="23" t="str">
        <f t="shared" ca="1" si="2"/>
        <v/>
      </c>
    </row>
    <row r="48" spans="1:8">
      <c r="A48" s="10"/>
      <c r="B48" s="10"/>
      <c r="C48" s="10"/>
      <c r="D48" s="11"/>
      <c r="E48" s="10"/>
      <c r="F48" s="10"/>
      <c r="G48" s="10"/>
      <c r="H48" s="23" t="str">
        <f t="shared" ca="1" si="2"/>
        <v/>
      </c>
    </row>
    <row r="49" spans="1:8">
      <c r="A49" s="10"/>
      <c r="B49" s="10"/>
      <c r="C49" s="10"/>
      <c r="D49" s="11"/>
      <c r="E49" s="10"/>
      <c r="F49" s="10"/>
      <c r="G49" s="10"/>
      <c r="H49" s="23" t="str">
        <f t="shared" ca="1" si="2"/>
        <v/>
      </c>
    </row>
    <row r="50" spans="1:8">
      <c r="A50" s="10"/>
      <c r="B50" s="10"/>
      <c r="C50" s="10"/>
      <c r="D50" s="11"/>
      <c r="E50" s="10"/>
      <c r="F50" s="10"/>
      <c r="G50" s="10"/>
      <c r="H50" s="23" t="str">
        <f t="shared" ca="1" si="2"/>
        <v/>
      </c>
    </row>
    <row r="51" spans="1:8">
      <c r="A51" s="10"/>
      <c r="B51" s="10"/>
      <c r="C51" s="10"/>
      <c r="D51" s="11"/>
      <c r="E51" s="10"/>
      <c r="F51" s="10"/>
      <c r="G51" s="10"/>
      <c r="H51" s="23" t="str">
        <f t="shared" ca="1" si="2"/>
        <v/>
      </c>
    </row>
    <row r="52" spans="1:8">
      <c r="A52" s="10"/>
      <c r="B52" s="10"/>
      <c r="C52" s="10"/>
      <c r="D52" s="11"/>
      <c r="E52" s="10"/>
      <c r="F52" s="10"/>
      <c r="G52" s="10"/>
      <c r="H52" s="23" t="str">
        <f t="shared" ca="1" si="2"/>
        <v/>
      </c>
    </row>
    <row r="53" spans="1:8">
      <c r="A53" s="10"/>
      <c r="B53" s="10"/>
      <c r="C53" s="10"/>
      <c r="D53" s="11"/>
      <c r="E53" s="10"/>
      <c r="F53" s="10"/>
      <c r="G53" s="10"/>
      <c r="H53" s="23" t="str">
        <f t="shared" ca="1" si="2"/>
        <v/>
      </c>
    </row>
    <row r="54" spans="1:8">
      <c r="A54" s="10"/>
      <c r="B54" s="10"/>
      <c r="C54" s="10"/>
      <c r="D54" s="11"/>
      <c r="E54" s="10"/>
      <c r="F54" s="10"/>
      <c r="G54" s="10"/>
      <c r="H54" s="23" t="str">
        <f t="shared" ca="1" si="2"/>
        <v/>
      </c>
    </row>
    <row r="55" spans="1:8">
      <c r="A55" s="10"/>
      <c r="B55" s="10"/>
      <c r="C55" s="10"/>
      <c r="D55" s="11"/>
      <c r="E55" s="10"/>
      <c r="F55" s="10"/>
      <c r="G55" s="10"/>
      <c r="H55" s="23" t="str">
        <f t="shared" ca="1" si="2"/>
        <v/>
      </c>
    </row>
    <row r="56" spans="1:8">
      <c r="A56" s="10"/>
      <c r="B56" s="10"/>
      <c r="C56" s="10"/>
      <c r="D56" s="11"/>
      <c r="E56" s="10"/>
      <c r="F56" s="10"/>
      <c r="G56" s="10"/>
      <c r="H56" s="23" t="str">
        <f t="shared" ca="1" si="2"/>
        <v/>
      </c>
    </row>
    <row r="57" spans="1:8">
      <c r="A57" s="10"/>
      <c r="B57" s="10"/>
      <c r="C57" s="10"/>
      <c r="D57" s="11"/>
      <c r="E57" s="10"/>
      <c r="F57" s="10"/>
      <c r="G57" s="10"/>
      <c r="H57" s="23" t="str">
        <f t="shared" ca="1" si="2"/>
        <v/>
      </c>
    </row>
    <row r="58" spans="1:8">
      <c r="A58" s="10"/>
      <c r="B58" s="10"/>
      <c r="C58" s="10"/>
      <c r="D58" s="11"/>
      <c r="E58" s="10"/>
      <c r="F58" s="10"/>
      <c r="G58" s="10"/>
      <c r="H58" s="23" t="str">
        <f t="shared" ref="H58:H89" ca="1" si="3">IF(A58="","",IF(E58="Bloqueado","BLOQUEADO",IF(AND(E58="Terminado",G58=""),"SIN EVIDENCIA",IF(AND(E58&lt;&gt;"Terminado",D58&lt;&gt;"",D58&lt;TODAY()),"VENCIDA",""))))</f>
        <v/>
      </c>
    </row>
    <row r="59" spans="1:8">
      <c r="A59" s="10"/>
      <c r="B59" s="10"/>
      <c r="C59" s="10"/>
      <c r="D59" s="11"/>
      <c r="E59" s="10"/>
      <c r="F59" s="10"/>
      <c r="G59" s="10"/>
      <c r="H59" s="23" t="str">
        <f t="shared" ca="1" si="3"/>
        <v/>
      </c>
    </row>
    <row r="60" spans="1:8">
      <c r="A60" s="10"/>
      <c r="B60" s="10"/>
      <c r="C60" s="10"/>
      <c r="D60" s="11"/>
      <c r="E60" s="10"/>
      <c r="F60" s="10"/>
      <c r="G60" s="10"/>
      <c r="H60" s="23" t="str">
        <f t="shared" ca="1" si="3"/>
        <v/>
      </c>
    </row>
    <row r="61" spans="1:8">
      <c r="A61" s="10"/>
      <c r="B61" s="10"/>
      <c r="C61" s="10"/>
      <c r="D61" s="11"/>
      <c r="E61" s="10"/>
      <c r="F61" s="10"/>
      <c r="G61" s="10"/>
      <c r="H61" s="23" t="str">
        <f t="shared" ca="1" si="3"/>
        <v/>
      </c>
    </row>
    <row r="62" spans="1:8">
      <c r="A62" s="10"/>
      <c r="B62" s="10"/>
      <c r="C62" s="10"/>
      <c r="D62" s="11"/>
      <c r="E62" s="10"/>
      <c r="F62" s="10"/>
      <c r="G62" s="10"/>
      <c r="H62" s="23" t="str">
        <f t="shared" ca="1" si="3"/>
        <v/>
      </c>
    </row>
    <row r="63" spans="1:8">
      <c r="A63" s="10"/>
      <c r="B63" s="10"/>
      <c r="C63" s="10"/>
      <c r="D63" s="11"/>
      <c r="E63" s="10"/>
      <c r="F63" s="10"/>
      <c r="G63" s="10"/>
      <c r="H63" s="23" t="str">
        <f t="shared" ca="1" si="3"/>
        <v/>
      </c>
    </row>
    <row r="64" spans="1:8">
      <c r="A64" s="10"/>
      <c r="B64" s="10"/>
      <c r="C64" s="10"/>
      <c r="D64" s="11"/>
      <c r="E64" s="10"/>
      <c r="F64" s="10"/>
      <c r="G64" s="10"/>
      <c r="H64" s="23" t="str">
        <f t="shared" ca="1" si="3"/>
        <v/>
      </c>
    </row>
    <row r="65" spans="1:8">
      <c r="A65" s="10"/>
      <c r="B65" s="10"/>
      <c r="C65" s="10"/>
      <c r="D65" s="11"/>
      <c r="E65" s="10"/>
      <c r="F65" s="10"/>
      <c r="G65" s="10"/>
      <c r="H65" s="23" t="str">
        <f t="shared" ca="1" si="3"/>
        <v/>
      </c>
    </row>
    <row r="66" spans="1:8">
      <c r="A66" s="10"/>
      <c r="B66" s="10"/>
      <c r="C66" s="10"/>
      <c r="D66" s="11"/>
      <c r="E66" s="10"/>
      <c r="F66" s="10"/>
      <c r="G66" s="10"/>
      <c r="H66" s="23" t="str">
        <f t="shared" ca="1" si="3"/>
        <v/>
      </c>
    </row>
    <row r="67" spans="1:8">
      <c r="A67" s="10"/>
      <c r="B67" s="10"/>
      <c r="C67" s="10"/>
      <c r="D67" s="11"/>
      <c r="E67" s="10"/>
      <c r="F67" s="10"/>
      <c r="G67" s="10"/>
      <c r="H67" s="23" t="str">
        <f t="shared" ca="1" si="3"/>
        <v/>
      </c>
    </row>
    <row r="68" spans="1:8">
      <c r="A68" s="10"/>
      <c r="B68" s="10"/>
      <c r="C68" s="10"/>
      <c r="D68" s="11"/>
      <c r="E68" s="10"/>
      <c r="F68" s="10"/>
      <c r="G68" s="10"/>
      <c r="H68" s="23" t="str">
        <f t="shared" ca="1" si="3"/>
        <v/>
      </c>
    </row>
    <row r="69" spans="1:8">
      <c r="A69" s="10"/>
      <c r="B69" s="10"/>
      <c r="C69" s="10"/>
      <c r="D69" s="11"/>
      <c r="E69" s="10"/>
      <c r="F69" s="10"/>
      <c r="G69" s="10"/>
      <c r="H69" s="23" t="str">
        <f t="shared" ca="1" si="3"/>
        <v/>
      </c>
    </row>
    <row r="70" spans="1:8">
      <c r="A70" s="10"/>
      <c r="B70" s="10"/>
      <c r="C70" s="10"/>
      <c r="D70" s="11"/>
      <c r="E70" s="10"/>
      <c r="F70" s="10"/>
      <c r="G70" s="10"/>
      <c r="H70" s="23" t="str">
        <f t="shared" ca="1" si="3"/>
        <v/>
      </c>
    </row>
    <row r="71" spans="1:8">
      <c r="A71" s="10"/>
      <c r="B71" s="10"/>
      <c r="C71" s="10"/>
      <c r="D71" s="11"/>
      <c r="E71" s="10"/>
      <c r="F71" s="10"/>
      <c r="G71" s="10"/>
      <c r="H71" s="23" t="str">
        <f t="shared" ca="1" si="3"/>
        <v/>
      </c>
    </row>
    <row r="72" spans="1:8">
      <c r="A72" s="10"/>
      <c r="B72" s="10"/>
      <c r="C72" s="10"/>
      <c r="D72" s="11"/>
      <c r="E72" s="10"/>
      <c r="F72" s="10"/>
      <c r="G72" s="10"/>
      <c r="H72" s="23" t="str">
        <f t="shared" ca="1" si="3"/>
        <v/>
      </c>
    </row>
    <row r="73" spans="1:8">
      <c r="A73" s="10"/>
      <c r="B73" s="10"/>
      <c r="C73" s="10"/>
      <c r="D73" s="11"/>
      <c r="E73" s="10"/>
      <c r="F73" s="10"/>
      <c r="G73" s="10"/>
      <c r="H73" s="23" t="str">
        <f t="shared" ca="1" si="3"/>
        <v/>
      </c>
    </row>
    <row r="74" spans="1:8">
      <c r="A74" s="10"/>
      <c r="B74" s="10"/>
      <c r="C74" s="10"/>
      <c r="D74" s="11"/>
      <c r="E74" s="10"/>
      <c r="F74" s="10"/>
      <c r="G74" s="10"/>
      <c r="H74" s="23" t="str">
        <f t="shared" ca="1" si="3"/>
        <v/>
      </c>
    </row>
    <row r="75" spans="1:8">
      <c r="A75" s="10"/>
      <c r="B75" s="10"/>
      <c r="C75" s="10"/>
      <c r="D75" s="11"/>
      <c r="E75" s="10"/>
      <c r="F75" s="10"/>
      <c r="G75" s="10"/>
      <c r="H75" s="23" t="str">
        <f t="shared" ca="1" si="3"/>
        <v/>
      </c>
    </row>
    <row r="76" spans="1:8">
      <c r="A76" s="10"/>
      <c r="B76" s="10"/>
      <c r="C76" s="10"/>
      <c r="D76" s="11"/>
      <c r="E76" s="10"/>
      <c r="F76" s="10"/>
      <c r="G76" s="10"/>
      <c r="H76" s="23" t="str">
        <f t="shared" ca="1" si="3"/>
        <v/>
      </c>
    </row>
    <row r="77" spans="1:8">
      <c r="A77" s="10"/>
      <c r="B77" s="10"/>
      <c r="C77" s="10"/>
      <c r="D77" s="11"/>
      <c r="E77" s="10"/>
      <c r="F77" s="10"/>
      <c r="G77" s="10"/>
      <c r="H77" s="23" t="str">
        <f t="shared" ca="1" si="3"/>
        <v/>
      </c>
    </row>
    <row r="78" spans="1:8">
      <c r="A78" s="10"/>
      <c r="B78" s="10"/>
      <c r="C78" s="10"/>
      <c r="D78" s="11"/>
      <c r="E78" s="10"/>
      <c r="F78" s="10"/>
      <c r="G78" s="10"/>
      <c r="H78" s="23" t="str">
        <f t="shared" ca="1" si="3"/>
        <v/>
      </c>
    </row>
    <row r="79" spans="1:8">
      <c r="A79" s="10"/>
      <c r="B79" s="10"/>
      <c r="C79" s="10"/>
      <c r="D79" s="11"/>
      <c r="E79" s="10"/>
      <c r="F79" s="10"/>
      <c r="G79" s="10"/>
      <c r="H79" s="23" t="str">
        <f t="shared" ca="1" si="3"/>
        <v/>
      </c>
    </row>
    <row r="80" spans="1:8">
      <c r="A80" s="10"/>
      <c r="B80" s="10"/>
      <c r="C80" s="10"/>
      <c r="D80" s="11"/>
      <c r="E80" s="10"/>
      <c r="F80" s="10"/>
      <c r="G80" s="10"/>
      <c r="H80" s="23" t="str">
        <f t="shared" ca="1" si="3"/>
        <v/>
      </c>
    </row>
    <row r="81" spans="1:8">
      <c r="A81" s="10"/>
      <c r="B81" s="10"/>
      <c r="C81" s="10"/>
      <c r="D81" s="11"/>
      <c r="E81" s="10"/>
      <c r="F81" s="10"/>
      <c r="G81" s="10"/>
      <c r="H81" s="23" t="str">
        <f t="shared" ca="1" si="3"/>
        <v/>
      </c>
    </row>
    <row r="82" spans="1:8">
      <c r="A82" s="10"/>
      <c r="B82" s="10"/>
      <c r="C82" s="10"/>
      <c r="D82" s="11"/>
      <c r="E82" s="10"/>
      <c r="F82" s="10"/>
      <c r="G82" s="10"/>
      <c r="H82" s="23" t="str">
        <f t="shared" ca="1" si="3"/>
        <v/>
      </c>
    </row>
    <row r="83" spans="1:8">
      <c r="A83" s="10"/>
      <c r="B83" s="10"/>
      <c r="C83" s="10"/>
      <c r="D83" s="11"/>
      <c r="E83" s="10"/>
      <c r="F83" s="10"/>
      <c r="G83" s="10"/>
      <c r="H83" s="23" t="str">
        <f t="shared" ca="1" si="3"/>
        <v/>
      </c>
    </row>
    <row r="84" spans="1:8">
      <c r="A84" s="10"/>
      <c r="B84" s="10"/>
      <c r="C84" s="10"/>
      <c r="D84" s="11"/>
      <c r="E84" s="10"/>
      <c r="F84" s="10"/>
      <c r="G84" s="10"/>
      <c r="H84" s="23" t="str">
        <f t="shared" ca="1" si="3"/>
        <v/>
      </c>
    </row>
    <row r="85" spans="1:8">
      <c r="A85" s="10"/>
      <c r="B85" s="10"/>
      <c r="C85" s="10"/>
      <c r="D85" s="11"/>
      <c r="E85" s="10"/>
      <c r="F85" s="10"/>
      <c r="G85" s="10"/>
      <c r="H85" s="23" t="str">
        <f t="shared" ca="1" si="3"/>
        <v/>
      </c>
    </row>
    <row r="86" spans="1:8">
      <c r="A86" s="10"/>
      <c r="B86" s="10"/>
      <c r="C86" s="10"/>
      <c r="D86" s="11"/>
      <c r="E86" s="10"/>
      <c r="F86" s="10"/>
      <c r="G86" s="10"/>
      <c r="H86" s="23" t="str">
        <f t="shared" ca="1" si="3"/>
        <v/>
      </c>
    </row>
    <row r="87" spans="1:8">
      <c r="A87" s="10"/>
      <c r="B87" s="10"/>
      <c r="C87" s="10"/>
      <c r="D87" s="11"/>
      <c r="E87" s="10"/>
      <c r="F87" s="10"/>
      <c r="G87" s="10"/>
      <c r="H87" s="23" t="str">
        <f t="shared" ca="1" si="3"/>
        <v/>
      </c>
    </row>
    <row r="88" spans="1:8">
      <c r="A88" s="10"/>
      <c r="B88" s="10"/>
      <c r="C88" s="10"/>
      <c r="D88" s="11"/>
      <c r="E88" s="10"/>
      <c r="F88" s="10"/>
      <c r="G88" s="10"/>
      <c r="H88" s="23" t="str">
        <f t="shared" ca="1" si="3"/>
        <v/>
      </c>
    </row>
    <row r="89" spans="1:8">
      <c r="A89" s="10"/>
      <c r="B89" s="10"/>
      <c r="C89" s="10"/>
      <c r="D89" s="11"/>
      <c r="E89" s="10"/>
      <c r="F89" s="10"/>
      <c r="G89" s="10"/>
      <c r="H89" s="23" t="str">
        <f t="shared" ca="1" si="3"/>
        <v/>
      </c>
    </row>
    <row r="90" spans="1:8">
      <c r="A90" s="10"/>
      <c r="B90" s="10"/>
      <c r="C90" s="10"/>
      <c r="D90" s="11"/>
      <c r="E90" s="10"/>
      <c r="F90" s="10"/>
      <c r="G90" s="10"/>
      <c r="H90" s="23" t="str">
        <f t="shared" ref="H90:H121" ca="1" si="4">IF(A90="","",IF(E90="Bloqueado","BLOQUEADO",IF(AND(E90="Terminado",G90=""),"SIN EVIDENCIA",IF(AND(E90&lt;&gt;"Terminado",D90&lt;&gt;"",D90&lt;TODAY()),"VENCIDA",""))))</f>
        <v/>
      </c>
    </row>
    <row r="91" spans="1:8">
      <c r="A91" s="10"/>
      <c r="B91" s="10"/>
      <c r="C91" s="10"/>
      <c r="D91" s="11"/>
      <c r="E91" s="10"/>
      <c r="F91" s="10"/>
      <c r="G91" s="10"/>
      <c r="H91" s="23" t="str">
        <f t="shared" ca="1" si="4"/>
        <v/>
      </c>
    </row>
    <row r="92" spans="1:8">
      <c r="A92" s="10"/>
      <c r="B92" s="10"/>
      <c r="C92" s="10"/>
      <c r="D92" s="11"/>
      <c r="E92" s="10"/>
      <c r="F92" s="10"/>
      <c r="G92" s="10"/>
      <c r="H92" s="23" t="str">
        <f t="shared" ca="1" si="4"/>
        <v/>
      </c>
    </row>
    <row r="93" spans="1:8">
      <c r="A93" s="10"/>
      <c r="B93" s="10"/>
      <c r="C93" s="10"/>
      <c r="D93" s="11"/>
      <c r="E93" s="10"/>
      <c r="F93" s="10"/>
      <c r="G93" s="10"/>
      <c r="H93" s="23" t="str">
        <f t="shared" ca="1" si="4"/>
        <v/>
      </c>
    </row>
    <row r="94" spans="1:8">
      <c r="A94" s="10"/>
      <c r="B94" s="10"/>
      <c r="C94" s="10"/>
      <c r="D94" s="11"/>
      <c r="E94" s="10"/>
      <c r="F94" s="10"/>
      <c r="G94" s="10"/>
      <c r="H94" s="23" t="str">
        <f t="shared" ca="1" si="4"/>
        <v/>
      </c>
    </row>
    <row r="95" spans="1:8">
      <c r="A95" s="10"/>
      <c r="B95" s="10"/>
      <c r="C95" s="10"/>
      <c r="D95" s="11"/>
      <c r="E95" s="10"/>
      <c r="F95" s="10"/>
      <c r="G95" s="10"/>
      <c r="H95" s="23" t="str">
        <f t="shared" ca="1" si="4"/>
        <v/>
      </c>
    </row>
    <row r="96" spans="1:8">
      <c r="A96" s="10"/>
      <c r="B96" s="10"/>
      <c r="C96" s="10"/>
      <c r="D96" s="11"/>
      <c r="E96" s="10"/>
      <c r="F96" s="10"/>
      <c r="G96" s="10"/>
      <c r="H96" s="23" t="str">
        <f t="shared" ca="1" si="4"/>
        <v/>
      </c>
    </row>
    <row r="97" spans="1:8">
      <c r="A97" s="10"/>
      <c r="B97" s="10"/>
      <c r="C97" s="10"/>
      <c r="D97" s="11"/>
      <c r="E97" s="10"/>
      <c r="F97" s="10"/>
      <c r="G97" s="10"/>
      <c r="H97" s="23" t="str">
        <f t="shared" ca="1" si="4"/>
        <v/>
      </c>
    </row>
    <row r="98" spans="1:8">
      <c r="A98" s="10"/>
      <c r="B98" s="10"/>
      <c r="C98" s="10"/>
      <c r="D98" s="11"/>
      <c r="E98" s="10"/>
      <c r="F98" s="10"/>
      <c r="G98" s="10"/>
      <c r="H98" s="23" t="str">
        <f t="shared" ca="1" si="4"/>
        <v/>
      </c>
    </row>
    <row r="99" spans="1:8">
      <c r="A99" s="10"/>
      <c r="B99" s="10"/>
      <c r="C99" s="10"/>
      <c r="D99" s="11"/>
      <c r="E99" s="10"/>
      <c r="F99" s="10"/>
      <c r="G99" s="10"/>
      <c r="H99" s="23" t="str">
        <f t="shared" ca="1" si="4"/>
        <v/>
      </c>
    </row>
    <row r="100" spans="1:8">
      <c r="A100" s="10"/>
      <c r="B100" s="10"/>
      <c r="C100" s="10"/>
      <c r="D100" s="11"/>
      <c r="E100" s="10"/>
      <c r="F100" s="10"/>
      <c r="G100" s="10"/>
      <c r="H100" s="23" t="str">
        <f t="shared" ca="1" si="4"/>
        <v/>
      </c>
    </row>
    <row r="101" spans="1:8">
      <c r="A101" s="10"/>
      <c r="B101" s="10"/>
      <c r="C101" s="10"/>
      <c r="D101" s="11"/>
      <c r="E101" s="10"/>
      <c r="F101" s="10"/>
      <c r="G101" s="10"/>
      <c r="H101" s="23" t="str">
        <f t="shared" ca="1" si="4"/>
        <v/>
      </c>
    </row>
    <row r="102" spans="1:8">
      <c r="A102" s="10"/>
      <c r="B102" s="10"/>
      <c r="C102" s="10"/>
      <c r="D102" s="11"/>
      <c r="E102" s="10"/>
      <c r="F102" s="10"/>
      <c r="G102" s="10"/>
      <c r="H102" s="23" t="str">
        <f t="shared" ca="1" si="4"/>
        <v/>
      </c>
    </row>
    <row r="103" spans="1:8">
      <c r="A103" s="10"/>
      <c r="B103" s="10"/>
      <c r="C103" s="10"/>
      <c r="D103" s="11"/>
      <c r="E103" s="10"/>
      <c r="F103" s="10"/>
      <c r="G103" s="10"/>
      <c r="H103" s="23" t="str">
        <f t="shared" ca="1" si="4"/>
        <v/>
      </c>
    </row>
    <row r="104" spans="1:8">
      <c r="A104" s="10"/>
      <c r="B104" s="10"/>
      <c r="C104" s="10"/>
      <c r="D104" s="11"/>
      <c r="E104" s="10"/>
      <c r="F104" s="10"/>
      <c r="G104" s="10"/>
      <c r="H104" s="23" t="str">
        <f t="shared" ca="1" si="4"/>
        <v/>
      </c>
    </row>
    <row r="105" spans="1:8">
      <c r="A105" s="10"/>
      <c r="B105" s="10"/>
      <c r="C105" s="10"/>
      <c r="D105" s="11"/>
      <c r="E105" s="10"/>
      <c r="F105" s="10"/>
      <c r="G105" s="10"/>
      <c r="H105" s="23" t="str">
        <f t="shared" ca="1" si="4"/>
        <v/>
      </c>
    </row>
    <row r="106" spans="1:8">
      <c r="A106" s="10"/>
      <c r="B106" s="10"/>
      <c r="C106" s="10"/>
      <c r="D106" s="11"/>
      <c r="E106" s="10"/>
      <c r="F106" s="10"/>
      <c r="G106" s="10"/>
      <c r="H106" s="23" t="str">
        <f t="shared" ca="1" si="4"/>
        <v/>
      </c>
    </row>
    <row r="107" spans="1:8">
      <c r="A107" s="10"/>
      <c r="B107" s="10"/>
      <c r="C107" s="10"/>
      <c r="D107" s="11"/>
      <c r="E107" s="10"/>
      <c r="F107" s="10"/>
      <c r="G107" s="10"/>
      <c r="H107" s="23" t="str">
        <f t="shared" ca="1" si="4"/>
        <v/>
      </c>
    </row>
    <row r="108" spans="1:8">
      <c r="A108" s="10"/>
      <c r="B108" s="10"/>
      <c r="C108" s="10"/>
      <c r="D108" s="11"/>
      <c r="E108" s="10"/>
      <c r="F108" s="10"/>
      <c r="G108" s="10"/>
      <c r="H108" s="23" t="str">
        <f t="shared" ca="1" si="4"/>
        <v/>
      </c>
    </row>
    <row r="109" spans="1:8">
      <c r="A109" s="10"/>
      <c r="B109" s="10"/>
      <c r="C109" s="10"/>
      <c r="D109" s="11"/>
      <c r="E109" s="10"/>
      <c r="F109" s="10"/>
      <c r="G109" s="10"/>
      <c r="H109" s="23" t="str">
        <f t="shared" ca="1" si="4"/>
        <v/>
      </c>
    </row>
    <row r="110" spans="1:8">
      <c r="A110" s="10"/>
      <c r="B110" s="10"/>
      <c r="C110" s="10"/>
      <c r="D110" s="11"/>
      <c r="E110" s="10"/>
      <c r="F110" s="10"/>
      <c r="G110" s="10"/>
      <c r="H110" s="23" t="str">
        <f t="shared" ca="1" si="4"/>
        <v/>
      </c>
    </row>
    <row r="111" spans="1:8">
      <c r="A111" s="10"/>
      <c r="B111" s="10"/>
      <c r="C111" s="10"/>
      <c r="D111" s="11"/>
      <c r="E111" s="10"/>
      <c r="F111" s="10"/>
      <c r="G111" s="10"/>
      <c r="H111" s="23" t="str">
        <f t="shared" ca="1" si="4"/>
        <v/>
      </c>
    </row>
    <row r="112" spans="1:8">
      <c r="A112" s="10"/>
      <c r="B112" s="10"/>
      <c r="C112" s="10"/>
      <c r="D112" s="11"/>
      <c r="E112" s="10"/>
      <c r="F112" s="10"/>
      <c r="G112" s="10"/>
      <c r="H112" s="23" t="str">
        <f t="shared" ca="1" si="4"/>
        <v/>
      </c>
    </row>
    <row r="113" spans="1:8">
      <c r="A113" s="10"/>
      <c r="B113" s="10"/>
      <c r="C113" s="10"/>
      <c r="D113" s="11"/>
      <c r="E113" s="10"/>
      <c r="F113" s="10"/>
      <c r="G113" s="10"/>
      <c r="H113" s="23" t="str">
        <f t="shared" ca="1" si="4"/>
        <v/>
      </c>
    </row>
    <row r="114" spans="1:8">
      <c r="A114" s="10"/>
      <c r="B114" s="10"/>
      <c r="C114" s="10"/>
      <c r="D114" s="11"/>
      <c r="E114" s="10"/>
      <c r="F114" s="10"/>
      <c r="G114" s="10"/>
      <c r="H114" s="23" t="str">
        <f t="shared" ca="1" si="4"/>
        <v/>
      </c>
    </row>
    <row r="115" spans="1:8">
      <c r="A115" s="10"/>
      <c r="B115" s="10"/>
      <c r="C115" s="10"/>
      <c r="D115" s="11"/>
      <c r="E115" s="10"/>
      <c r="F115" s="10"/>
      <c r="G115" s="10"/>
      <c r="H115" s="23" t="str">
        <f t="shared" ca="1" si="4"/>
        <v/>
      </c>
    </row>
    <row r="116" spans="1:8">
      <c r="A116" s="10"/>
      <c r="B116" s="10"/>
      <c r="C116" s="10"/>
      <c r="D116" s="11"/>
      <c r="E116" s="10"/>
      <c r="F116" s="10"/>
      <c r="G116" s="10"/>
      <c r="H116" s="23" t="str">
        <f t="shared" ca="1" si="4"/>
        <v/>
      </c>
    </row>
    <row r="117" spans="1:8">
      <c r="A117" s="10"/>
      <c r="B117" s="10"/>
      <c r="C117" s="10"/>
      <c r="D117" s="11"/>
      <c r="E117" s="10"/>
      <c r="F117" s="10"/>
      <c r="G117" s="10"/>
      <c r="H117" s="23" t="str">
        <f t="shared" ca="1" si="4"/>
        <v/>
      </c>
    </row>
    <row r="118" spans="1:8">
      <c r="A118" s="10"/>
      <c r="B118" s="10"/>
      <c r="C118" s="10"/>
      <c r="D118" s="11"/>
      <c r="E118" s="10"/>
      <c r="F118" s="10"/>
      <c r="G118" s="10"/>
      <c r="H118" s="23" t="str">
        <f t="shared" ca="1" si="4"/>
        <v/>
      </c>
    </row>
    <row r="119" spans="1:8">
      <c r="A119" s="10"/>
      <c r="B119" s="10"/>
      <c r="C119" s="10"/>
      <c r="D119" s="11"/>
      <c r="E119" s="10"/>
      <c r="F119" s="10"/>
      <c r="G119" s="10"/>
      <c r="H119" s="23" t="str">
        <f t="shared" ca="1" si="4"/>
        <v/>
      </c>
    </row>
    <row r="120" spans="1:8">
      <c r="A120" s="10"/>
      <c r="B120" s="10"/>
      <c r="C120" s="10"/>
      <c r="D120" s="11"/>
      <c r="E120" s="10"/>
      <c r="F120" s="10"/>
      <c r="G120" s="10"/>
      <c r="H120" s="23" t="str">
        <f t="shared" ca="1" si="4"/>
        <v/>
      </c>
    </row>
    <row r="121" spans="1:8">
      <c r="A121" s="10"/>
      <c r="B121" s="10"/>
      <c r="C121" s="10"/>
      <c r="D121" s="11"/>
      <c r="E121" s="10"/>
      <c r="F121" s="10"/>
      <c r="G121" s="10"/>
      <c r="H121" s="23" t="str">
        <f t="shared" ca="1" si="4"/>
        <v/>
      </c>
    </row>
    <row r="122" spans="1:8">
      <c r="A122" s="10"/>
      <c r="B122" s="10"/>
      <c r="C122" s="10"/>
      <c r="D122" s="11"/>
      <c r="E122" s="10"/>
      <c r="F122" s="10"/>
      <c r="G122" s="10"/>
      <c r="H122" s="23" t="str">
        <f t="shared" ref="H122:H125" ca="1" si="5">IF(A122="","",IF(E122="Bloqueado","BLOQUEADO",IF(AND(E122="Terminado",G122=""),"SIN EVIDENCIA",IF(AND(E122&lt;&gt;"Terminado",D122&lt;&gt;"",D122&lt;TODAY()),"VENCIDA",""))))</f>
        <v/>
      </c>
    </row>
    <row r="123" spans="1:8">
      <c r="A123" s="10"/>
      <c r="B123" s="10"/>
      <c r="C123" s="10"/>
      <c r="D123" s="11"/>
      <c r="E123" s="10"/>
      <c r="F123" s="10"/>
      <c r="G123" s="10"/>
      <c r="H123" s="23" t="str">
        <f t="shared" ca="1" si="5"/>
        <v/>
      </c>
    </row>
    <row r="124" spans="1:8">
      <c r="A124" s="10"/>
      <c r="B124" s="10"/>
      <c r="C124" s="10"/>
      <c r="D124" s="11"/>
      <c r="E124" s="10"/>
      <c r="F124" s="10"/>
      <c r="G124" s="10"/>
      <c r="H124" s="23" t="str">
        <f t="shared" ca="1" si="5"/>
        <v/>
      </c>
    </row>
    <row r="125" spans="1:8">
      <c r="A125" s="10"/>
      <c r="B125" s="10"/>
      <c r="C125" s="10"/>
      <c r="D125" s="11"/>
      <c r="E125" s="10"/>
      <c r="F125" s="10"/>
      <c r="G125" s="10"/>
      <c r="H125" s="23" t="str">
        <f t="shared" ca="1" si="5"/>
        <v/>
      </c>
    </row>
  </sheetData>
  <mergeCells count="7">
    <mergeCell ref="A23:H23"/>
    <mergeCell ref="J22:L22"/>
    <mergeCell ref="A1:L1"/>
    <mergeCell ref="A2:L2"/>
    <mergeCell ref="A7:L7"/>
    <mergeCell ref="A8:L8"/>
    <mergeCell ref="A22:H22"/>
  </mergeCells>
  <conditionalFormatting sqref="E26:E125">
    <cfRule type="expression" dxfId="24" priority="3">
      <formula>E26="Terminado"</formula>
    </cfRule>
    <cfRule type="expression" dxfId="23" priority="4">
      <formula>E26="Bloqueado"</formula>
    </cfRule>
  </conditionalFormatting>
  <conditionalFormatting sqref="H26:H125">
    <cfRule type="expression" dxfId="22" priority="5">
      <formula>H26&lt;&gt;""</formula>
    </cfRule>
  </conditionalFormatting>
  <conditionalFormatting sqref="K26:K28">
    <cfRule type="expression" dxfId="21" priority="6">
      <formula>K26&gt;0</formula>
    </cfRule>
  </conditionalFormatting>
  <conditionalFormatting sqref="L10:L18">
    <cfRule type="expression" dxfId="20" priority="1">
      <formula>L10="DISPONIBLE"</formula>
    </cfRule>
    <cfRule type="expression" dxfId="19" priority="2">
      <formula>OR(L10="POR AGOTARSE",L10="AGOTADO")</formula>
    </cfRule>
  </conditionalFormatting>
  <dataValidations count="5">
    <dataValidation type="list" sqref="B4" xr:uid="{00000000-0002-0000-0100-000000000000}">
      <formula1>"Sí,No"</formula1>
    </dataValidation>
    <dataValidation type="whole" operator="greaterThanOrEqual" allowBlank="1" sqref="B6 E10:I18" xr:uid="{00000000-0002-0000-0100-000001000000}">
      <formula1>0</formula1>
    </dataValidation>
    <dataValidation type="date" allowBlank="1" sqref="B10:B18 D26:D125" xr:uid="{00000000-0002-0000-0100-000002000000}">
      <formula1>DATE(2020,1,1)</formula1>
      <formula2>DATE(2100,12,31)</formula2>
    </dataValidation>
    <dataValidation type="list" sqref="B26:B125" xr:uid="{00000000-0002-0000-0100-000003000000}">
      <formula1>"Antes,Durante,Después"</formula1>
    </dataValidation>
    <dataValidation type="list" sqref="E26:E125" xr:uid="{00000000-0002-0000-0100-000004000000}">
      <formula1>"Pendiente,En curso,Bloqueado,Terminado"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5"/>
  <sheetViews>
    <sheetView tabSelected="1" topLeftCell="A35" workbookViewId="0">
      <selection activeCell="A38" sqref="A38"/>
    </sheetView>
  </sheetViews>
  <sheetFormatPr defaultRowHeight="13.8"/>
  <cols>
    <col min="1" max="1" width="15" customWidth="1"/>
    <col min="2" max="2" width="16" customWidth="1"/>
    <col min="3" max="3" width="14" customWidth="1"/>
    <col min="4" max="4" width="26" customWidth="1"/>
    <col min="5" max="5" width="14" customWidth="1"/>
    <col min="6" max="7" width="16" customWidth="1"/>
    <col min="8" max="8" width="18" customWidth="1"/>
    <col min="9" max="9" width="20" customWidth="1"/>
    <col min="10" max="10" width="18" customWidth="1"/>
    <col min="11" max="11" width="16" customWidth="1"/>
    <col min="12" max="13" width="18" customWidth="1"/>
    <col min="14" max="17" width="16" customWidth="1"/>
    <col min="18" max="18" width="20" customWidth="1"/>
  </cols>
  <sheetData>
    <row r="1" spans="1:18" ht="28.8" customHeight="1">
      <c r="A1" s="84" t="s">
        <v>109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3.8" customHeight="1">
      <c r="A2" s="86" t="s">
        <v>110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4" spans="1:18">
      <c r="A4" s="72" t="s">
        <v>111</v>
      </c>
      <c r="B4" s="72"/>
      <c r="C4" s="72"/>
      <c r="D4" s="72"/>
      <c r="E4" s="72"/>
      <c r="F4" s="72"/>
      <c r="G4" s="72"/>
      <c r="H4" s="72"/>
      <c r="J4" s="54" t="s">
        <v>112</v>
      </c>
      <c r="K4" s="54"/>
      <c r="L4" s="54"/>
      <c r="M4" s="54"/>
      <c r="N4" s="54"/>
      <c r="O4" s="54"/>
      <c r="P4" s="54"/>
      <c r="Q4" s="54"/>
      <c r="R4" s="54"/>
    </row>
    <row r="5" spans="1:18" ht="14.4">
      <c r="A5" s="226" t="s">
        <v>113</v>
      </c>
      <c r="B5" s="226"/>
      <c r="C5" s="226"/>
      <c r="D5" s="226"/>
      <c r="E5" s="226"/>
      <c r="F5" s="226"/>
      <c r="G5" s="226"/>
      <c r="H5" s="226"/>
    </row>
    <row r="6" spans="1:18" ht="22.2" customHeight="1">
      <c r="J6" s="14" t="s">
        <v>114</v>
      </c>
      <c r="K6" s="15" t="s">
        <v>115</v>
      </c>
      <c r="L6" s="15" t="s">
        <v>95</v>
      </c>
      <c r="M6" s="16" t="s">
        <v>116</v>
      </c>
    </row>
    <row r="7" spans="1:18" ht="31.2" customHeight="1">
      <c r="A7" s="14" t="s">
        <v>117</v>
      </c>
      <c r="B7" s="16" t="s">
        <v>86</v>
      </c>
      <c r="D7" s="239" t="str">
        <f>"Esta promoción incluye "&amp;B8&amp;". El precio es "&amp;B9&amp;" y las formas de pago son "&amp;B10&amp;". "&amp;B11&amp;". "&amp;B12&amp;". Condiciones: "&amp;B13&amp;". Si necesitas una aclaración, la registramos y te confirmamos el seguimiento."</f>
        <v>Esta promoción incluye Producto + accesorio. El precio es $800.00 MXN y las formas de pago son Tarjeta / transferencia. 5 cupos disponibles. Reservación con horario confirmado. Condiciones: Sujeto a disponibilidad. No acumulable.. Si necesitas una aclaración, la registramos y te confirmamos el seguimiento.</v>
      </c>
      <c r="E7" s="240"/>
      <c r="F7" s="240"/>
      <c r="G7" s="240"/>
      <c r="H7" s="241"/>
      <c r="J7" s="25" t="s">
        <v>118</v>
      </c>
      <c r="K7" s="25" t="s">
        <v>26</v>
      </c>
      <c r="L7" s="25" t="s">
        <v>54</v>
      </c>
      <c r="M7" s="25" t="s">
        <v>54</v>
      </c>
    </row>
    <row r="8" spans="1:18" ht="27.6">
      <c r="A8" s="17" t="s">
        <v>7</v>
      </c>
      <c r="B8" s="18" t="str">
        <f>'00_Mi_Buen_Fin'!$E$5</f>
        <v>Producto + accesorio</v>
      </c>
      <c r="D8" s="242"/>
      <c r="E8" s="243"/>
      <c r="F8" s="243"/>
      <c r="G8" s="243"/>
      <c r="H8" s="244"/>
      <c r="J8" s="25" t="s">
        <v>119</v>
      </c>
      <c r="K8" s="25" t="s">
        <v>54</v>
      </c>
      <c r="L8" s="25" t="s">
        <v>26</v>
      </c>
      <c r="M8" s="25" t="s">
        <v>120</v>
      </c>
    </row>
    <row r="9" spans="1:18" ht="27.6">
      <c r="A9" s="17" t="s">
        <v>121</v>
      </c>
      <c r="B9" s="18" t="str">
        <f>TEXT('00_Mi_Buen_Fin'!$B$10,"$#,##0.00")&amp;" MXN"</f>
        <v>$800.00 MXN</v>
      </c>
      <c r="D9" s="242"/>
      <c r="E9" s="243"/>
      <c r="F9" s="243"/>
      <c r="G9" s="243"/>
      <c r="H9" s="244"/>
      <c r="J9" s="25" t="s">
        <v>122</v>
      </c>
      <c r="K9" s="25" t="s">
        <v>54</v>
      </c>
      <c r="L9" s="25" t="s">
        <v>54</v>
      </c>
      <c r="M9" s="25" t="s">
        <v>26</v>
      </c>
    </row>
    <row r="10" spans="1:18" ht="27.6">
      <c r="A10" s="17" t="s">
        <v>15</v>
      </c>
      <c r="B10" s="18" t="str">
        <f>'00_Mi_Buen_Fin'!$E$7</f>
        <v>Tarjeta / transferencia</v>
      </c>
      <c r="D10" s="242"/>
      <c r="E10" s="243"/>
      <c r="F10" s="243"/>
      <c r="G10" s="243"/>
      <c r="H10" s="244"/>
    </row>
    <row r="11" spans="1:18" ht="27.6">
      <c r="A11" s="17" t="s">
        <v>123</v>
      </c>
      <c r="B11" s="18" t="str">
        <f>TEXT(IFERROR(SUM('01_Alistate'!$K$10:$K$18),0),"0")&amp;" cupos disponibles"</f>
        <v>5 cupos disponibles</v>
      </c>
      <c r="D11" s="242"/>
      <c r="E11" s="243"/>
      <c r="F11" s="243"/>
      <c r="G11" s="243"/>
      <c r="H11" s="244"/>
    </row>
    <row r="12" spans="1:18" ht="27.6">
      <c r="A12" s="17" t="s">
        <v>18</v>
      </c>
      <c r="B12" s="18" t="str">
        <f>'00_Mi_Buen_Fin'!$E$8</f>
        <v>Reservación con horario confirmado</v>
      </c>
      <c r="D12" s="242"/>
      <c r="E12" s="243"/>
      <c r="F12" s="243"/>
      <c r="G12" s="243"/>
      <c r="H12" s="244"/>
    </row>
    <row r="13" spans="1:18" ht="41.4">
      <c r="A13" s="17" t="s">
        <v>22</v>
      </c>
      <c r="B13" s="18" t="str">
        <f>'00_Mi_Buen_Fin'!$E$9</f>
        <v>Sujeto a disponibilidad. No acumulable.</v>
      </c>
      <c r="D13" s="245"/>
      <c r="E13" s="246"/>
      <c r="F13" s="246"/>
      <c r="G13" s="246"/>
      <c r="H13" s="247"/>
    </row>
    <row r="16" spans="1:18" ht="9.9" customHeight="1">
      <c r="A16" s="178" t="s">
        <v>124</v>
      </c>
      <c r="B16" s="178"/>
      <c r="C16" s="178" t="s">
        <v>125</v>
      </c>
      <c r="D16" s="178"/>
      <c r="E16" s="178" t="s">
        <v>31</v>
      </c>
      <c r="F16" s="178"/>
      <c r="G16" s="178" t="s">
        <v>126</v>
      </c>
      <c r="H16" s="178"/>
      <c r="I16" s="1"/>
      <c r="J16" s="2"/>
    </row>
    <row r="17" spans="1:10" ht="21.6">
      <c r="A17" s="234">
        <f>COUNTIFS($D$23:$D$33,"&lt;&gt;",$E$23:$E$33,"&lt;&gt;Convertido",$E$23:$E$33,"&lt;&gt;Cerrado sin compra")</f>
        <v>2</v>
      </c>
      <c r="B17" s="235"/>
      <c r="C17" s="234">
        <f>COUNTIF($N$39:$N$56,"&gt;0")</f>
        <v>2</v>
      </c>
      <c r="D17" s="236"/>
      <c r="E17" s="237">
        <f>SUM($O$39:$O$56)</f>
        <v>2800</v>
      </c>
      <c r="F17" s="238"/>
      <c r="G17" s="234">
        <f>COUNTIF($I$65:$I$75,"Abierta")+COUNTIF($I$65:$I$75,"En proceso")</f>
        <v>0</v>
      </c>
      <c r="H17" s="236"/>
      <c r="I17" s="4"/>
      <c r="J17" s="6"/>
    </row>
    <row r="18" spans="1:10">
      <c r="A18" s="8"/>
      <c r="B18" s="5"/>
      <c r="C18" s="3"/>
      <c r="D18" s="3"/>
      <c r="E18" s="3"/>
      <c r="F18" s="3"/>
      <c r="G18" s="3"/>
      <c r="H18" s="3"/>
      <c r="I18" s="5"/>
      <c r="J18" s="7"/>
    </row>
    <row r="19" spans="1:10">
      <c r="A19" s="8"/>
      <c r="B19" s="5"/>
      <c r="C19" s="3"/>
      <c r="D19" s="3"/>
      <c r="E19" s="3"/>
      <c r="F19" s="3"/>
      <c r="G19" s="3"/>
      <c r="H19" s="3"/>
      <c r="I19" s="5"/>
      <c r="J19" s="7"/>
    </row>
    <row r="20" spans="1:10">
      <c r="A20" s="72" t="s">
        <v>127</v>
      </c>
      <c r="B20" s="228"/>
      <c r="C20" s="72"/>
      <c r="D20" s="72"/>
      <c r="E20" s="72"/>
      <c r="F20" s="72"/>
      <c r="G20" s="72"/>
      <c r="H20" s="72"/>
      <c r="I20" s="228"/>
      <c r="J20" s="229"/>
    </row>
    <row r="21" spans="1:10" ht="14.4">
      <c r="A21" s="230" t="s">
        <v>128</v>
      </c>
      <c r="B21" s="231"/>
      <c r="C21" s="230"/>
      <c r="D21" s="230"/>
      <c r="E21" s="230"/>
      <c r="F21" s="230"/>
      <c r="G21" s="230"/>
      <c r="H21" s="230"/>
      <c r="I21" s="231"/>
      <c r="J21" s="232"/>
    </row>
    <row r="22" spans="1:10" ht="9.9" customHeight="1">
      <c r="A22" s="14" t="s">
        <v>129</v>
      </c>
      <c r="B22" s="26" t="s">
        <v>130</v>
      </c>
      <c r="C22" s="15" t="s">
        <v>131</v>
      </c>
      <c r="D22" s="15" t="s">
        <v>132</v>
      </c>
      <c r="E22" s="15" t="s">
        <v>35</v>
      </c>
      <c r="F22" s="15" t="s">
        <v>76</v>
      </c>
      <c r="G22" s="15" t="s">
        <v>133</v>
      </c>
      <c r="H22" s="26" t="s">
        <v>134</v>
      </c>
      <c r="I22" s="16" t="s">
        <v>92</v>
      </c>
    </row>
    <row r="23" spans="1:10">
      <c r="A23" s="18" t="str">
        <f t="shared" ref="A23:A33" si="0">IF(D23="","","P-"&amp;TEXT(COUNTIF($D$23:D23,"&lt;&gt;"),"000"))</f>
        <v>P-001</v>
      </c>
      <c r="B23" s="27">
        <v>46339</v>
      </c>
      <c r="C23" s="28" t="s">
        <v>135</v>
      </c>
      <c r="D23" s="28" t="s">
        <v>136</v>
      </c>
      <c r="E23" s="28" t="s">
        <v>137</v>
      </c>
      <c r="F23" s="28" t="s">
        <v>138</v>
      </c>
      <c r="G23" s="28" t="s">
        <v>139</v>
      </c>
      <c r="H23" s="27">
        <v>46340</v>
      </c>
      <c r="I23" s="18" t="str">
        <f t="shared" ref="I23:I33" ca="1" si="1">IF(D23="","",IF(OR(E23="Convertido",E23="Cerrado sin compra"),"",IF(AND(H23&lt;&gt;"",H23&lt;TODAY()),"VENCIDO","")))</f>
        <v/>
      </c>
    </row>
    <row r="24" spans="1:10">
      <c r="A24" s="18" t="str">
        <f t="shared" si="0"/>
        <v>P-002</v>
      </c>
      <c r="B24" s="27">
        <v>46339</v>
      </c>
      <c r="C24" s="28" t="s">
        <v>140</v>
      </c>
      <c r="D24" s="28" t="s">
        <v>141</v>
      </c>
      <c r="E24" s="28" t="s">
        <v>142</v>
      </c>
      <c r="F24" s="28" t="s">
        <v>138</v>
      </c>
      <c r="G24" s="28" t="s">
        <v>139</v>
      </c>
      <c r="H24" s="27">
        <v>46340</v>
      </c>
      <c r="I24" s="18" t="str">
        <f t="shared" ca="1" si="1"/>
        <v/>
      </c>
    </row>
    <row r="25" spans="1:10" ht="27.6">
      <c r="A25" s="18" t="str">
        <f t="shared" si="0"/>
        <v>P-003</v>
      </c>
      <c r="B25" s="27">
        <v>46283</v>
      </c>
      <c r="C25" s="28" t="s">
        <v>143</v>
      </c>
      <c r="D25" s="28" t="s">
        <v>144</v>
      </c>
      <c r="E25" s="28" t="s">
        <v>145</v>
      </c>
      <c r="F25" s="28" t="s">
        <v>138</v>
      </c>
      <c r="G25" s="28" t="s">
        <v>139</v>
      </c>
      <c r="H25" s="27">
        <v>46284</v>
      </c>
      <c r="I25" s="18" t="str">
        <f t="shared" ca="1" si="1"/>
        <v>VENCIDO</v>
      </c>
    </row>
    <row r="26" spans="1:10">
      <c r="A26" s="18" t="str">
        <f t="shared" si="0"/>
        <v>P-004</v>
      </c>
      <c r="B26" s="27">
        <v>46339</v>
      </c>
      <c r="C26" s="28" t="s">
        <v>146</v>
      </c>
      <c r="D26" s="28" t="s">
        <v>147</v>
      </c>
      <c r="E26" s="28" t="s">
        <v>137</v>
      </c>
      <c r="F26" s="28" t="s">
        <v>138</v>
      </c>
      <c r="G26" s="28" t="s">
        <v>139</v>
      </c>
      <c r="H26" s="27">
        <v>46340</v>
      </c>
      <c r="I26" s="18" t="str">
        <f t="shared" ca="1" si="1"/>
        <v/>
      </c>
    </row>
    <row r="27" spans="1:10">
      <c r="A27" s="18" t="str">
        <f t="shared" si="0"/>
        <v/>
      </c>
      <c r="B27" s="27"/>
      <c r="C27" s="28"/>
      <c r="D27" s="28"/>
      <c r="E27" s="28"/>
      <c r="F27" s="28"/>
      <c r="G27" s="28"/>
      <c r="H27" s="27"/>
      <c r="I27" s="18" t="str">
        <f t="shared" ca="1" si="1"/>
        <v/>
      </c>
    </row>
    <row r="28" spans="1:10">
      <c r="A28" s="18" t="str">
        <f t="shared" si="0"/>
        <v/>
      </c>
      <c r="B28" s="27"/>
      <c r="C28" s="28"/>
      <c r="D28" s="28"/>
      <c r="E28" s="28"/>
      <c r="F28" s="28"/>
      <c r="G28" s="28"/>
      <c r="H28" s="27"/>
      <c r="I28" s="18" t="str">
        <f t="shared" ca="1" si="1"/>
        <v/>
      </c>
    </row>
    <row r="29" spans="1:10">
      <c r="A29" s="18" t="str">
        <f t="shared" si="0"/>
        <v/>
      </c>
      <c r="B29" s="27"/>
      <c r="C29" s="28"/>
      <c r="D29" s="28"/>
      <c r="E29" s="28"/>
      <c r="F29" s="28"/>
      <c r="G29" s="28"/>
      <c r="H29" s="27"/>
      <c r="I29" s="18" t="str">
        <f t="shared" ca="1" si="1"/>
        <v/>
      </c>
    </row>
    <row r="30" spans="1:10">
      <c r="A30" s="18" t="str">
        <f t="shared" si="0"/>
        <v/>
      </c>
      <c r="B30" s="27"/>
      <c r="C30" s="28"/>
      <c r="D30" s="28"/>
      <c r="E30" s="28"/>
      <c r="F30" s="28"/>
      <c r="G30" s="28"/>
      <c r="H30" s="27"/>
      <c r="I30" s="18" t="str">
        <f t="shared" ca="1" si="1"/>
        <v/>
      </c>
    </row>
    <row r="31" spans="1:10">
      <c r="A31" s="18" t="str">
        <f t="shared" si="0"/>
        <v/>
      </c>
      <c r="B31" s="27"/>
      <c r="C31" s="28"/>
      <c r="D31" s="28"/>
      <c r="E31" s="28"/>
      <c r="F31" s="28"/>
      <c r="G31" s="28"/>
      <c r="H31" s="27"/>
      <c r="I31" s="18" t="str">
        <f t="shared" ca="1" si="1"/>
        <v/>
      </c>
    </row>
    <row r="32" spans="1:10">
      <c r="A32" s="18" t="str">
        <f t="shared" si="0"/>
        <v/>
      </c>
      <c r="B32" s="27"/>
      <c r="C32" s="28"/>
      <c r="D32" s="28"/>
      <c r="E32" s="28"/>
      <c r="F32" s="28"/>
      <c r="G32" s="28"/>
      <c r="H32" s="27"/>
      <c r="I32" s="18" t="str">
        <f t="shared" ca="1" si="1"/>
        <v/>
      </c>
    </row>
    <row r="33" spans="1:18">
      <c r="A33" s="18" t="str">
        <f t="shared" si="0"/>
        <v/>
      </c>
      <c r="B33" s="27"/>
      <c r="C33" s="28"/>
      <c r="D33" s="28"/>
      <c r="E33" s="28"/>
      <c r="F33" s="28"/>
      <c r="G33" s="28"/>
      <c r="H33" s="27"/>
      <c r="I33" s="18" t="str">
        <f t="shared" ca="1" si="1"/>
        <v/>
      </c>
    </row>
    <row r="36" spans="1:18">
      <c r="A36" s="54" t="s">
        <v>148</v>
      </c>
      <c r="B36" s="233"/>
      <c r="C36" s="54"/>
      <c r="D36" s="54"/>
      <c r="E36" s="54"/>
      <c r="F36" s="54"/>
      <c r="G36" s="54"/>
      <c r="H36" s="54"/>
      <c r="I36" s="233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14.4">
      <c r="A37" s="230" t="s">
        <v>236</v>
      </c>
      <c r="B37" s="231"/>
      <c r="C37" s="230"/>
      <c r="D37" s="230"/>
      <c r="E37" s="230"/>
      <c r="F37" s="230"/>
      <c r="G37" s="230"/>
      <c r="H37" s="230"/>
      <c r="I37" s="231"/>
      <c r="J37" s="230"/>
      <c r="K37" s="226"/>
      <c r="L37" s="226"/>
      <c r="M37" s="226"/>
      <c r="N37" s="226"/>
      <c r="O37" s="226"/>
      <c r="P37" s="226"/>
      <c r="Q37" s="226"/>
      <c r="R37" s="226"/>
    </row>
    <row r="38" spans="1:18" ht="9.9" customHeight="1">
      <c r="A38" s="14" t="s">
        <v>149</v>
      </c>
      <c r="B38" s="26" t="s">
        <v>132</v>
      </c>
      <c r="C38" s="15" t="s">
        <v>68</v>
      </c>
      <c r="D38" s="15" t="s">
        <v>14</v>
      </c>
      <c r="E38" s="15" t="s">
        <v>150</v>
      </c>
      <c r="F38" s="15" t="s">
        <v>151</v>
      </c>
      <c r="G38" s="15" t="s">
        <v>152</v>
      </c>
      <c r="H38" s="15" t="s">
        <v>153</v>
      </c>
      <c r="I38" s="26" t="s">
        <v>154</v>
      </c>
      <c r="J38" s="15" t="s">
        <v>155</v>
      </c>
      <c r="K38" s="15" t="s">
        <v>156</v>
      </c>
      <c r="L38" s="15" t="s">
        <v>157</v>
      </c>
      <c r="M38" s="15" t="s">
        <v>158</v>
      </c>
      <c r="N38" s="15" t="s">
        <v>159</v>
      </c>
      <c r="O38" s="15" t="s">
        <v>160</v>
      </c>
      <c r="P38" s="15" t="s">
        <v>161</v>
      </c>
      <c r="Q38" s="15" t="s">
        <v>162</v>
      </c>
      <c r="R38" s="16" t="s">
        <v>92</v>
      </c>
    </row>
    <row r="39" spans="1:18">
      <c r="A39" s="18" t="str">
        <f t="shared" ref="A39:A56" si="2">IF(D39="","","PED-"&amp;TEXT(COUNTIF($D$39:D39,"&lt;&gt;"),"000"))</f>
        <v>PED-001</v>
      </c>
      <c r="B39" s="27" t="s">
        <v>163</v>
      </c>
      <c r="C39" s="27">
        <v>46340</v>
      </c>
      <c r="D39" s="28" t="s">
        <v>78</v>
      </c>
      <c r="E39" s="28">
        <v>1</v>
      </c>
      <c r="F39" s="29">
        <v>900</v>
      </c>
      <c r="G39" s="29">
        <v>100</v>
      </c>
      <c r="H39" s="18" t="str">
        <f t="shared" ref="H39:H56" si="3">IF(F39="","",IF(F39-L39&lt;=0,"Reembolsado",IF(G39&lt;=0,"Pendiente",IF(G39&lt;F39-L39,"Parcial","Pagado"))))</f>
        <v>Parcial</v>
      </c>
      <c r="I39" s="27" t="s">
        <v>164</v>
      </c>
      <c r="J39" s="27">
        <v>46340</v>
      </c>
      <c r="K39" s="27">
        <v>46340</v>
      </c>
      <c r="L39" s="29">
        <v>0</v>
      </c>
      <c r="M39" s="30">
        <f>IF(OR(E39="",'00_Mi_Buen_Fin'!$E$11=""),"",E39*'00_Mi_Buen_Fin'!$E$11)</f>
        <v>700</v>
      </c>
      <c r="N39" s="30">
        <f t="shared" ref="N39:N56" si="4">IF(F39="","",MAX(0,F39-L39))</f>
        <v>900</v>
      </c>
      <c r="O39" s="30">
        <f t="shared" ref="O39:O56" si="5">IF(F39="","",MAX(0,N39-G39))</f>
        <v>800</v>
      </c>
      <c r="P39" s="30">
        <f t="shared" ref="P39:P56" si="6">IF(N39="","",N39-M39)</f>
        <v>200</v>
      </c>
      <c r="Q39" s="18" t="str">
        <f t="shared" ref="Q39:Q56" si="7">IF(I39&lt;&gt;"Realizado","",IF(OR(J39="",K39=""),"",IF(K39&lt;=J39,"A tiempo","Atrasada")))</f>
        <v>A tiempo</v>
      </c>
      <c r="R39" s="18" t="str">
        <f t="shared" ref="R39:R56" ca="1" si="8">IF(D39="","",IF(O39&gt;0,"SALDO PENDIENTE",IF(AND(I39&lt;&gt;"Realizado",I39&lt;&gt;"Cancelado",J39&lt;&gt;"",J39&lt;TODAY()),"SERVICIO ATRASADO","")))</f>
        <v>SALDO PENDIENTE</v>
      </c>
    </row>
    <row r="40" spans="1:18">
      <c r="A40" s="18" t="str">
        <f t="shared" si="2"/>
        <v>PED-002</v>
      </c>
      <c r="B40" s="27" t="s">
        <v>141</v>
      </c>
      <c r="C40" s="27">
        <v>46340</v>
      </c>
      <c r="D40" s="28" t="s">
        <v>165</v>
      </c>
      <c r="E40" s="28">
        <v>2</v>
      </c>
      <c r="F40" s="29">
        <v>2000</v>
      </c>
      <c r="G40" s="29">
        <v>0</v>
      </c>
      <c r="H40" s="18" t="str">
        <f t="shared" si="3"/>
        <v>Pendiente</v>
      </c>
      <c r="I40" s="27" t="s">
        <v>166</v>
      </c>
      <c r="J40" s="27">
        <v>46340</v>
      </c>
      <c r="K40" s="27">
        <v>46340</v>
      </c>
      <c r="L40" s="29">
        <v>0</v>
      </c>
      <c r="M40" s="30">
        <f>IF(OR(E40="",'00_Mi_Buen_Fin'!$E$11=""),"",E40*'00_Mi_Buen_Fin'!$E$11)</f>
        <v>1400</v>
      </c>
      <c r="N40" s="30">
        <f t="shared" si="4"/>
        <v>2000</v>
      </c>
      <c r="O40" s="30">
        <f t="shared" si="5"/>
        <v>2000</v>
      </c>
      <c r="P40" s="30">
        <f t="shared" si="6"/>
        <v>600</v>
      </c>
      <c r="Q40" s="18" t="str">
        <f t="shared" si="7"/>
        <v/>
      </c>
      <c r="R40" s="18" t="str">
        <f t="shared" ca="1" si="8"/>
        <v>SALDO PENDIENTE</v>
      </c>
    </row>
    <row r="41" spans="1:18">
      <c r="A41" s="18" t="str">
        <f t="shared" si="2"/>
        <v/>
      </c>
      <c r="B41" s="27"/>
      <c r="C41" s="27"/>
      <c r="D41" s="28"/>
      <c r="E41" s="28"/>
      <c r="F41" s="29"/>
      <c r="G41" s="29"/>
      <c r="H41" s="18" t="str">
        <f t="shared" si="3"/>
        <v/>
      </c>
      <c r="I41" s="27"/>
      <c r="J41" s="27"/>
      <c r="K41" s="27"/>
      <c r="L41" s="29"/>
      <c r="M41" s="30" t="str">
        <f>IF(OR(E41="",'00_Mi_Buen_Fin'!$E$11=""),"",E41*'00_Mi_Buen_Fin'!$E$11)</f>
        <v/>
      </c>
      <c r="N41" s="30" t="str">
        <f t="shared" si="4"/>
        <v/>
      </c>
      <c r="O41" s="30" t="str">
        <f t="shared" si="5"/>
        <v/>
      </c>
      <c r="P41" s="30" t="str">
        <f t="shared" si="6"/>
        <v/>
      </c>
      <c r="Q41" s="18" t="str">
        <f t="shared" si="7"/>
        <v/>
      </c>
      <c r="R41" s="18" t="str">
        <f t="shared" ca="1" si="8"/>
        <v/>
      </c>
    </row>
    <row r="42" spans="1:18">
      <c r="A42" s="18" t="str">
        <f t="shared" si="2"/>
        <v/>
      </c>
      <c r="B42" s="27"/>
      <c r="C42" s="27"/>
      <c r="D42" s="28"/>
      <c r="E42" s="28"/>
      <c r="F42" s="29"/>
      <c r="G42" s="29"/>
      <c r="H42" s="18" t="str">
        <f t="shared" si="3"/>
        <v/>
      </c>
      <c r="I42" s="27"/>
      <c r="J42" s="27"/>
      <c r="K42" s="27"/>
      <c r="L42" s="29"/>
      <c r="M42" s="30" t="str">
        <f>IF(OR(E42="",'00_Mi_Buen_Fin'!$E$11=""),"",E42*'00_Mi_Buen_Fin'!$E$11)</f>
        <v/>
      </c>
      <c r="N42" s="30" t="str">
        <f t="shared" si="4"/>
        <v/>
      </c>
      <c r="O42" s="30" t="str">
        <f t="shared" si="5"/>
        <v/>
      </c>
      <c r="P42" s="30" t="str">
        <f t="shared" si="6"/>
        <v/>
      </c>
      <c r="Q42" s="18" t="str">
        <f t="shared" si="7"/>
        <v/>
      </c>
      <c r="R42" s="18" t="str">
        <f t="shared" ca="1" si="8"/>
        <v/>
      </c>
    </row>
    <row r="43" spans="1:18">
      <c r="A43" s="18" t="str">
        <f t="shared" si="2"/>
        <v/>
      </c>
      <c r="B43" s="27"/>
      <c r="C43" s="27"/>
      <c r="D43" s="28"/>
      <c r="E43" s="28"/>
      <c r="F43" s="29"/>
      <c r="G43" s="29"/>
      <c r="H43" s="18" t="str">
        <f t="shared" si="3"/>
        <v/>
      </c>
      <c r="I43" s="27"/>
      <c r="J43" s="27"/>
      <c r="K43" s="27"/>
      <c r="L43" s="29"/>
      <c r="M43" s="30" t="str">
        <f>IF(OR(E43="",'00_Mi_Buen_Fin'!$E$11=""),"",E43*'00_Mi_Buen_Fin'!$E$11)</f>
        <v/>
      </c>
      <c r="N43" s="30" t="str">
        <f t="shared" si="4"/>
        <v/>
      </c>
      <c r="O43" s="30" t="str">
        <f t="shared" si="5"/>
        <v/>
      </c>
      <c r="P43" s="30" t="str">
        <f t="shared" si="6"/>
        <v/>
      </c>
      <c r="Q43" s="18" t="str">
        <f t="shared" si="7"/>
        <v/>
      </c>
      <c r="R43" s="18" t="str">
        <f t="shared" ca="1" si="8"/>
        <v/>
      </c>
    </row>
    <row r="44" spans="1:18">
      <c r="A44" s="18" t="str">
        <f t="shared" si="2"/>
        <v/>
      </c>
      <c r="B44" s="27"/>
      <c r="C44" s="27"/>
      <c r="D44" s="28"/>
      <c r="E44" s="28"/>
      <c r="F44" s="29"/>
      <c r="G44" s="29"/>
      <c r="H44" s="18" t="str">
        <f t="shared" si="3"/>
        <v/>
      </c>
      <c r="I44" s="27"/>
      <c r="J44" s="27"/>
      <c r="K44" s="27"/>
      <c r="L44" s="29"/>
      <c r="M44" s="30" t="str">
        <f>IF(OR(E44="",'00_Mi_Buen_Fin'!$E$11=""),"",E44*'00_Mi_Buen_Fin'!$E$11)</f>
        <v/>
      </c>
      <c r="N44" s="30" t="str">
        <f t="shared" si="4"/>
        <v/>
      </c>
      <c r="O44" s="30" t="str">
        <f t="shared" si="5"/>
        <v/>
      </c>
      <c r="P44" s="30" t="str">
        <f t="shared" si="6"/>
        <v/>
      </c>
      <c r="Q44" s="18" t="str">
        <f t="shared" si="7"/>
        <v/>
      </c>
      <c r="R44" s="18" t="str">
        <f t="shared" ca="1" si="8"/>
        <v/>
      </c>
    </row>
    <row r="45" spans="1:18">
      <c r="A45" s="18" t="str">
        <f t="shared" si="2"/>
        <v/>
      </c>
      <c r="B45" s="27"/>
      <c r="C45" s="27"/>
      <c r="D45" s="28"/>
      <c r="E45" s="28"/>
      <c r="F45" s="29"/>
      <c r="G45" s="29"/>
      <c r="H45" s="18" t="str">
        <f t="shared" si="3"/>
        <v/>
      </c>
      <c r="I45" s="27"/>
      <c r="J45" s="27"/>
      <c r="K45" s="27"/>
      <c r="L45" s="29"/>
      <c r="M45" s="30" t="str">
        <f>IF(OR(E45="",'00_Mi_Buen_Fin'!$E$11=""),"",E45*'00_Mi_Buen_Fin'!$E$11)</f>
        <v/>
      </c>
      <c r="N45" s="30" t="str">
        <f t="shared" si="4"/>
        <v/>
      </c>
      <c r="O45" s="30" t="str">
        <f t="shared" si="5"/>
        <v/>
      </c>
      <c r="P45" s="30" t="str">
        <f t="shared" si="6"/>
        <v/>
      </c>
      <c r="Q45" s="18" t="str">
        <f t="shared" si="7"/>
        <v/>
      </c>
      <c r="R45" s="18" t="str">
        <f t="shared" ca="1" si="8"/>
        <v/>
      </c>
    </row>
    <row r="46" spans="1:18">
      <c r="A46" s="18" t="str">
        <f t="shared" si="2"/>
        <v/>
      </c>
      <c r="B46" s="27"/>
      <c r="C46" s="27"/>
      <c r="D46" s="28"/>
      <c r="E46" s="28"/>
      <c r="F46" s="29"/>
      <c r="G46" s="29"/>
      <c r="H46" s="18" t="str">
        <f t="shared" si="3"/>
        <v/>
      </c>
      <c r="I46" s="27"/>
      <c r="J46" s="27"/>
      <c r="K46" s="27"/>
      <c r="L46" s="29"/>
      <c r="M46" s="30" t="str">
        <f>IF(OR(E46="",'00_Mi_Buen_Fin'!$E$11=""),"",E46*'00_Mi_Buen_Fin'!$E$11)</f>
        <v/>
      </c>
      <c r="N46" s="30" t="str">
        <f t="shared" si="4"/>
        <v/>
      </c>
      <c r="O46" s="30" t="str">
        <f t="shared" si="5"/>
        <v/>
      </c>
      <c r="P46" s="30" t="str">
        <f t="shared" si="6"/>
        <v/>
      </c>
      <c r="Q46" s="18" t="str">
        <f t="shared" si="7"/>
        <v/>
      </c>
      <c r="R46" s="18" t="str">
        <f t="shared" ca="1" si="8"/>
        <v/>
      </c>
    </row>
    <row r="47" spans="1:18">
      <c r="A47" s="18" t="str">
        <f t="shared" si="2"/>
        <v/>
      </c>
      <c r="B47" s="27"/>
      <c r="C47" s="27"/>
      <c r="D47" s="28"/>
      <c r="E47" s="28"/>
      <c r="F47" s="29"/>
      <c r="G47" s="29"/>
      <c r="H47" s="18" t="str">
        <f t="shared" si="3"/>
        <v/>
      </c>
      <c r="I47" s="27"/>
      <c r="J47" s="27"/>
      <c r="K47" s="27"/>
      <c r="L47" s="29"/>
      <c r="M47" s="30" t="str">
        <f>IF(OR(E47="",'00_Mi_Buen_Fin'!$E$11=""),"",E47*'00_Mi_Buen_Fin'!$E$11)</f>
        <v/>
      </c>
      <c r="N47" s="30" t="str">
        <f t="shared" si="4"/>
        <v/>
      </c>
      <c r="O47" s="30" t="str">
        <f t="shared" si="5"/>
        <v/>
      </c>
      <c r="P47" s="30" t="str">
        <f t="shared" si="6"/>
        <v/>
      </c>
      <c r="Q47" s="18" t="str">
        <f t="shared" si="7"/>
        <v/>
      </c>
      <c r="R47" s="18" t="str">
        <f t="shared" ca="1" si="8"/>
        <v/>
      </c>
    </row>
    <row r="48" spans="1:18">
      <c r="A48" s="18" t="str">
        <f t="shared" si="2"/>
        <v/>
      </c>
      <c r="B48" s="27"/>
      <c r="C48" s="27"/>
      <c r="D48" s="28"/>
      <c r="E48" s="28"/>
      <c r="F48" s="29"/>
      <c r="G48" s="29"/>
      <c r="H48" s="18" t="str">
        <f t="shared" si="3"/>
        <v/>
      </c>
      <c r="I48" s="27"/>
      <c r="J48" s="27"/>
      <c r="K48" s="27"/>
      <c r="L48" s="29"/>
      <c r="M48" s="30" t="str">
        <f>IF(OR(E48="",'00_Mi_Buen_Fin'!$E$11=""),"",E48*'00_Mi_Buen_Fin'!$E$11)</f>
        <v/>
      </c>
      <c r="N48" s="30" t="str">
        <f t="shared" si="4"/>
        <v/>
      </c>
      <c r="O48" s="30" t="str">
        <f t="shared" si="5"/>
        <v/>
      </c>
      <c r="P48" s="30" t="str">
        <f t="shared" si="6"/>
        <v/>
      </c>
      <c r="Q48" s="18" t="str">
        <f t="shared" si="7"/>
        <v/>
      </c>
      <c r="R48" s="18" t="str">
        <f t="shared" ca="1" si="8"/>
        <v/>
      </c>
    </row>
    <row r="49" spans="1:18">
      <c r="A49" s="18" t="str">
        <f t="shared" si="2"/>
        <v/>
      </c>
      <c r="B49" s="27"/>
      <c r="C49" s="27"/>
      <c r="D49" s="28"/>
      <c r="E49" s="28"/>
      <c r="F49" s="29"/>
      <c r="G49" s="29"/>
      <c r="H49" s="18" t="str">
        <f t="shared" si="3"/>
        <v/>
      </c>
      <c r="I49" s="27"/>
      <c r="J49" s="27"/>
      <c r="K49" s="27"/>
      <c r="L49" s="29"/>
      <c r="M49" s="30" t="str">
        <f>IF(OR(E49="",'00_Mi_Buen_Fin'!$E$11=""),"",E49*'00_Mi_Buen_Fin'!$E$11)</f>
        <v/>
      </c>
      <c r="N49" s="30" t="str">
        <f t="shared" si="4"/>
        <v/>
      </c>
      <c r="O49" s="30" t="str">
        <f t="shared" si="5"/>
        <v/>
      </c>
      <c r="P49" s="30" t="str">
        <f t="shared" si="6"/>
        <v/>
      </c>
      <c r="Q49" s="18" t="str">
        <f t="shared" si="7"/>
        <v/>
      </c>
      <c r="R49" s="18" t="str">
        <f t="shared" ca="1" si="8"/>
        <v/>
      </c>
    </row>
    <row r="50" spans="1:18">
      <c r="A50" s="18" t="str">
        <f t="shared" si="2"/>
        <v/>
      </c>
      <c r="B50" s="27"/>
      <c r="C50" s="27"/>
      <c r="D50" s="28"/>
      <c r="E50" s="28"/>
      <c r="F50" s="29"/>
      <c r="G50" s="29"/>
      <c r="H50" s="18" t="str">
        <f t="shared" si="3"/>
        <v/>
      </c>
      <c r="I50" s="27"/>
      <c r="J50" s="27"/>
      <c r="K50" s="27"/>
      <c r="L50" s="29"/>
      <c r="M50" s="30" t="str">
        <f>IF(OR(E50="",'00_Mi_Buen_Fin'!$E$11=""),"",E50*'00_Mi_Buen_Fin'!$E$11)</f>
        <v/>
      </c>
      <c r="N50" s="30" t="str">
        <f t="shared" si="4"/>
        <v/>
      </c>
      <c r="O50" s="30" t="str">
        <f t="shared" si="5"/>
        <v/>
      </c>
      <c r="P50" s="30" t="str">
        <f t="shared" si="6"/>
        <v/>
      </c>
      <c r="Q50" s="18" t="str">
        <f t="shared" si="7"/>
        <v/>
      </c>
      <c r="R50" s="18" t="str">
        <f t="shared" ca="1" si="8"/>
        <v/>
      </c>
    </row>
    <row r="51" spans="1:18">
      <c r="A51" s="18" t="str">
        <f t="shared" si="2"/>
        <v/>
      </c>
      <c r="B51" s="27"/>
      <c r="C51" s="27"/>
      <c r="D51" s="28"/>
      <c r="E51" s="28"/>
      <c r="F51" s="29"/>
      <c r="G51" s="29"/>
      <c r="H51" s="18" t="str">
        <f t="shared" si="3"/>
        <v/>
      </c>
      <c r="I51" s="27"/>
      <c r="J51" s="27"/>
      <c r="K51" s="27"/>
      <c r="L51" s="29"/>
      <c r="M51" s="30" t="str">
        <f>IF(OR(E51="",'00_Mi_Buen_Fin'!$E$11=""),"",E51*'00_Mi_Buen_Fin'!$E$11)</f>
        <v/>
      </c>
      <c r="N51" s="30" t="str">
        <f t="shared" si="4"/>
        <v/>
      </c>
      <c r="O51" s="30" t="str">
        <f t="shared" si="5"/>
        <v/>
      </c>
      <c r="P51" s="30" t="str">
        <f t="shared" si="6"/>
        <v/>
      </c>
      <c r="Q51" s="18" t="str">
        <f t="shared" si="7"/>
        <v/>
      </c>
      <c r="R51" s="18" t="str">
        <f t="shared" ca="1" si="8"/>
        <v/>
      </c>
    </row>
    <row r="52" spans="1:18">
      <c r="A52" s="18" t="str">
        <f t="shared" si="2"/>
        <v/>
      </c>
      <c r="B52" s="27"/>
      <c r="C52" s="27"/>
      <c r="D52" s="28"/>
      <c r="E52" s="28"/>
      <c r="F52" s="29"/>
      <c r="G52" s="29"/>
      <c r="H52" s="18" t="str">
        <f t="shared" si="3"/>
        <v/>
      </c>
      <c r="I52" s="27"/>
      <c r="J52" s="27"/>
      <c r="K52" s="27"/>
      <c r="L52" s="29"/>
      <c r="M52" s="30" t="str">
        <f>IF(OR(E52="",'00_Mi_Buen_Fin'!$E$11=""),"",E52*'00_Mi_Buen_Fin'!$E$11)</f>
        <v/>
      </c>
      <c r="N52" s="30" t="str">
        <f t="shared" si="4"/>
        <v/>
      </c>
      <c r="O52" s="30" t="str">
        <f t="shared" si="5"/>
        <v/>
      </c>
      <c r="P52" s="30" t="str">
        <f t="shared" si="6"/>
        <v/>
      </c>
      <c r="Q52" s="18" t="str">
        <f t="shared" si="7"/>
        <v/>
      </c>
      <c r="R52" s="18" t="str">
        <f t="shared" ca="1" si="8"/>
        <v/>
      </c>
    </row>
    <row r="53" spans="1:18">
      <c r="A53" s="18" t="str">
        <f t="shared" si="2"/>
        <v/>
      </c>
      <c r="B53" s="27"/>
      <c r="C53" s="27"/>
      <c r="D53" s="28"/>
      <c r="E53" s="28"/>
      <c r="F53" s="29"/>
      <c r="G53" s="29"/>
      <c r="H53" s="18" t="str">
        <f t="shared" si="3"/>
        <v/>
      </c>
      <c r="I53" s="27"/>
      <c r="J53" s="27"/>
      <c r="K53" s="27"/>
      <c r="L53" s="29"/>
      <c r="M53" s="30" t="str">
        <f>IF(OR(E53="",'00_Mi_Buen_Fin'!$E$11=""),"",E53*'00_Mi_Buen_Fin'!$E$11)</f>
        <v/>
      </c>
      <c r="N53" s="30" t="str">
        <f t="shared" si="4"/>
        <v/>
      </c>
      <c r="O53" s="30" t="str">
        <f t="shared" si="5"/>
        <v/>
      </c>
      <c r="P53" s="30" t="str">
        <f t="shared" si="6"/>
        <v/>
      </c>
      <c r="Q53" s="18" t="str">
        <f t="shared" si="7"/>
        <v/>
      </c>
      <c r="R53" s="18" t="str">
        <f t="shared" ca="1" si="8"/>
        <v/>
      </c>
    </row>
    <row r="54" spans="1:18">
      <c r="A54" s="18" t="str">
        <f t="shared" si="2"/>
        <v/>
      </c>
      <c r="B54" s="27"/>
      <c r="C54" s="27"/>
      <c r="D54" s="28"/>
      <c r="E54" s="28"/>
      <c r="F54" s="29"/>
      <c r="G54" s="29"/>
      <c r="H54" s="18" t="str">
        <f t="shared" si="3"/>
        <v/>
      </c>
      <c r="I54" s="27"/>
      <c r="J54" s="27"/>
      <c r="K54" s="27"/>
      <c r="L54" s="29"/>
      <c r="M54" s="30" t="str">
        <f>IF(OR(E54="",'00_Mi_Buen_Fin'!$E$11=""),"",E54*'00_Mi_Buen_Fin'!$E$11)</f>
        <v/>
      </c>
      <c r="N54" s="30" t="str">
        <f t="shared" si="4"/>
        <v/>
      </c>
      <c r="O54" s="30" t="str">
        <f t="shared" si="5"/>
        <v/>
      </c>
      <c r="P54" s="30" t="str">
        <f t="shared" si="6"/>
        <v/>
      </c>
      <c r="Q54" s="18" t="str">
        <f t="shared" si="7"/>
        <v/>
      </c>
      <c r="R54" s="18" t="str">
        <f t="shared" ca="1" si="8"/>
        <v/>
      </c>
    </row>
    <row r="55" spans="1:18">
      <c r="A55" s="18" t="str">
        <f t="shared" si="2"/>
        <v/>
      </c>
      <c r="B55" s="27"/>
      <c r="C55" s="27"/>
      <c r="D55" s="28"/>
      <c r="E55" s="28"/>
      <c r="F55" s="29"/>
      <c r="G55" s="29"/>
      <c r="H55" s="18" t="str">
        <f t="shared" si="3"/>
        <v/>
      </c>
      <c r="I55" s="27"/>
      <c r="J55" s="27"/>
      <c r="K55" s="27"/>
      <c r="L55" s="29"/>
      <c r="M55" s="30" t="str">
        <f>IF(OR(E55="",'00_Mi_Buen_Fin'!$E$11=""),"",E55*'00_Mi_Buen_Fin'!$E$11)</f>
        <v/>
      </c>
      <c r="N55" s="30" t="str">
        <f t="shared" si="4"/>
        <v/>
      </c>
      <c r="O55" s="30" t="str">
        <f t="shared" si="5"/>
        <v/>
      </c>
      <c r="P55" s="30" t="str">
        <f t="shared" si="6"/>
        <v/>
      </c>
      <c r="Q55" s="18" t="str">
        <f t="shared" si="7"/>
        <v/>
      </c>
      <c r="R55" s="18" t="str">
        <f t="shared" ca="1" si="8"/>
        <v/>
      </c>
    </row>
    <row r="56" spans="1:18">
      <c r="A56" s="18" t="str">
        <f t="shared" si="2"/>
        <v/>
      </c>
      <c r="B56" s="27"/>
      <c r="C56" s="27"/>
      <c r="D56" s="28"/>
      <c r="E56" s="28"/>
      <c r="F56" s="29"/>
      <c r="G56" s="29"/>
      <c r="H56" s="18" t="str">
        <f t="shared" si="3"/>
        <v/>
      </c>
      <c r="I56" s="27"/>
      <c r="J56" s="27"/>
      <c r="K56" s="27"/>
      <c r="L56" s="29"/>
      <c r="M56" s="30" t="str">
        <f>IF(OR(E56="",'00_Mi_Buen_Fin'!$E$11=""),"",E56*'00_Mi_Buen_Fin'!$E$11)</f>
        <v/>
      </c>
      <c r="N56" s="30" t="str">
        <f t="shared" si="4"/>
        <v/>
      </c>
      <c r="O56" s="30" t="str">
        <f t="shared" si="5"/>
        <v/>
      </c>
      <c r="P56" s="30" t="str">
        <f t="shared" si="6"/>
        <v/>
      </c>
      <c r="Q56" s="18" t="str">
        <f t="shared" si="7"/>
        <v/>
      </c>
      <c r="R56" s="18" t="str">
        <f t="shared" ca="1" si="8"/>
        <v/>
      </c>
    </row>
    <row r="62" spans="1:18">
      <c r="A62" s="134" t="s">
        <v>167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</row>
    <row r="63" spans="1:18" ht="14.4">
      <c r="A63" s="226" t="s">
        <v>168</v>
      </c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</row>
    <row r="64" spans="1:18" ht="9.9" customHeight="1">
      <c r="A64" s="14" t="s">
        <v>169</v>
      </c>
      <c r="B64" s="15" t="s">
        <v>132</v>
      </c>
      <c r="C64" s="15" t="s">
        <v>68</v>
      </c>
      <c r="D64" s="15" t="s">
        <v>170</v>
      </c>
      <c r="E64" s="15" t="s">
        <v>171</v>
      </c>
      <c r="F64" s="15" t="s">
        <v>76</v>
      </c>
      <c r="G64" s="15" t="s">
        <v>172</v>
      </c>
      <c r="H64" s="15" t="s">
        <v>173</v>
      </c>
      <c r="I64" s="15" t="s">
        <v>35</v>
      </c>
      <c r="J64" s="15" t="s">
        <v>174</v>
      </c>
      <c r="K64" s="15" t="s">
        <v>91</v>
      </c>
      <c r="L64" s="16" t="s">
        <v>92</v>
      </c>
    </row>
    <row r="65" spans="1:12" ht="27.6">
      <c r="A65" s="18" t="str">
        <f t="shared" ref="A65:A75" si="9">IF(D65="","","INC-"&amp;TEXT(COUNTIF($D$65:D65,"&lt;&gt;"),"000"))</f>
        <v>INC-001</v>
      </c>
      <c r="B65" s="28" t="s">
        <v>163</v>
      </c>
      <c r="C65" s="27">
        <v>46340</v>
      </c>
      <c r="D65" s="28" t="s">
        <v>175</v>
      </c>
      <c r="E65" s="28" t="s">
        <v>176</v>
      </c>
      <c r="F65" s="28" t="s">
        <v>115</v>
      </c>
      <c r="G65" s="28" t="s">
        <v>177</v>
      </c>
      <c r="H65" s="27">
        <v>46340</v>
      </c>
      <c r="I65" s="28" t="s">
        <v>178</v>
      </c>
      <c r="J65" s="28" t="s">
        <v>115</v>
      </c>
      <c r="K65" s="28" t="s">
        <v>179</v>
      </c>
      <c r="L65" s="18" t="str">
        <f t="shared" ref="L65:L75" ca="1" si="10">IF(D65="","",IF(OR(I65="Resuelta",I65="Cerrada"),"",IF(AND(H65&lt;&gt;"",H65&lt;TODAY()),"VENCIDA","")))</f>
        <v/>
      </c>
    </row>
    <row r="66" spans="1:12">
      <c r="A66" s="18" t="str">
        <f t="shared" si="9"/>
        <v/>
      </c>
      <c r="B66" s="28"/>
      <c r="C66" s="27"/>
      <c r="D66" s="28"/>
      <c r="E66" s="28"/>
      <c r="F66" s="28"/>
      <c r="G66" s="28"/>
      <c r="H66" s="27"/>
      <c r="I66" s="28"/>
      <c r="J66" s="28"/>
      <c r="K66" s="28"/>
      <c r="L66" s="18" t="str">
        <f t="shared" ca="1" si="10"/>
        <v/>
      </c>
    </row>
    <row r="67" spans="1:12">
      <c r="A67" s="18" t="str">
        <f t="shared" si="9"/>
        <v/>
      </c>
      <c r="B67" s="28"/>
      <c r="C67" s="27"/>
      <c r="D67" s="28"/>
      <c r="E67" s="28"/>
      <c r="F67" s="28"/>
      <c r="G67" s="28"/>
      <c r="H67" s="27"/>
      <c r="I67" s="28"/>
      <c r="J67" s="28"/>
      <c r="K67" s="28"/>
      <c r="L67" s="18" t="str">
        <f t="shared" ca="1" si="10"/>
        <v/>
      </c>
    </row>
    <row r="68" spans="1:12">
      <c r="A68" s="18" t="str">
        <f t="shared" si="9"/>
        <v/>
      </c>
      <c r="B68" s="28"/>
      <c r="C68" s="27"/>
      <c r="D68" s="28"/>
      <c r="E68" s="28"/>
      <c r="F68" s="28"/>
      <c r="G68" s="28"/>
      <c r="H68" s="27"/>
      <c r="I68" s="28"/>
      <c r="J68" s="28"/>
      <c r="K68" s="28"/>
      <c r="L68" s="18" t="str">
        <f t="shared" ca="1" si="10"/>
        <v/>
      </c>
    </row>
    <row r="69" spans="1:12">
      <c r="A69" s="18" t="str">
        <f t="shared" si="9"/>
        <v/>
      </c>
      <c r="B69" s="28"/>
      <c r="C69" s="27"/>
      <c r="D69" s="28"/>
      <c r="E69" s="28"/>
      <c r="F69" s="28"/>
      <c r="G69" s="28"/>
      <c r="H69" s="27"/>
      <c r="I69" s="28"/>
      <c r="J69" s="28"/>
      <c r="K69" s="28"/>
      <c r="L69" s="18" t="str">
        <f t="shared" ca="1" si="10"/>
        <v/>
      </c>
    </row>
    <row r="70" spans="1:12">
      <c r="A70" s="18" t="str">
        <f t="shared" si="9"/>
        <v/>
      </c>
      <c r="B70" s="28"/>
      <c r="C70" s="27"/>
      <c r="D70" s="28"/>
      <c r="E70" s="28"/>
      <c r="F70" s="28"/>
      <c r="G70" s="28"/>
      <c r="H70" s="27"/>
      <c r="I70" s="28"/>
      <c r="J70" s="28"/>
      <c r="K70" s="28"/>
      <c r="L70" s="18" t="str">
        <f t="shared" ca="1" si="10"/>
        <v/>
      </c>
    </row>
    <row r="71" spans="1:12">
      <c r="A71" s="18" t="str">
        <f t="shared" si="9"/>
        <v/>
      </c>
      <c r="B71" s="28"/>
      <c r="C71" s="27"/>
      <c r="D71" s="28"/>
      <c r="E71" s="28"/>
      <c r="F71" s="28"/>
      <c r="G71" s="28"/>
      <c r="H71" s="27"/>
      <c r="I71" s="28"/>
      <c r="J71" s="28"/>
      <c r="K71" s="28"/>
      <c r="L71" s="18" t="str">
        <f t="shared" ca="1" si="10"/>
        <v/>
      </c>
    </row>
    <row r="72" spans="1:12">
      <c r="A72" s="18" t="str">
        <f t="shared" si="9"/>
        <v/>
      </c>
      <c r="B72" s="28"/>
      <c r="C72" s="27"/>
      <c r="D72" s="28"/>
      <c r="E72" s="28"/>
      <c r="F72" s="28"/>
      <c r="G72" s="28"/>
      <c r="H72" s="27"/>
      <c r="I72" s="28"/>
      <c r="J72" s="28"/>
      <c r="K72" s="28"/>
      <c r="L72" s="18" t="str">
        <f t="shared" ca="1" si="10"/>
        <v/>
      </c>
    </row>
    <row r="73" spans="1:12">
      <c r="A73" s="18" t="str">
        <f t="shared" si="9"/>
        <v/>
      </c>
      <c r="B73" s="28"/>
      <c r="C73" s="27"/>
      <c r="D73" s="28"/>
      <c r="E73" s="28"/>
      <c r="F73" s="28"/>
      <c r="G73" s="28"/>
      <c r="H73" s="27"/>
      <c r="I73" s="28"/>
      <c r="J73" s="28"/>
      <c r="K73" s="28"/>
      <c r="L73" s="18" t="str">
        <f t="shared" ca="1" si="10"/>
        <v/>
      </c>
    </row>
    <row r="74" spans="1:12">
      <c r="A74" s="18" t="str">
        <f t="shared" si="9"/>
        <v/>
      </c>
      <c r="B74" s="28"/>
      <c r="C74" s="27"/>
      <c r="D74" s="28"/>
      <c r="E74" s="28"/>
      <c r="F74" s="28"/>
      <c r="G74" s="28"/>
      <c r="H74" s="27"/>
      <c r="I74" s="28"/>
      <c r="J74" s="28"/>
      <c r="K74" s="28"/>
      <c r="L74" s="18" t="str">
        <f t="shared" ca="1" si="10"/>
        <v/>
      </c>
    </row>
    <row r="75" spans="1:12">
      <c r="A75" s="18" t="str">
        <f t="shared" si="9"/>
        <v/>
      </c>
      <c r="B75" s="28"/>
      <c r="C75" s="27"/>
      <c r="D75" s="28"/>
      <c r="E75" s="28"/>
      <c r="F75" s="28"/>
      <c r="G75" s="28"/>
      <c r="H75" s="27"/>
      <c r="I75" s="28"/>
      <c r="J75" s="28"/>
      <c r="K75" s="28"/>
      <c r="L75" s="18" t="str">
        <f t="shared" ca="1" si="10"/>
        <v/>
      </c>
    </row>
  </sheetData>
  <mergeCells count="20">
    <mergeCell ref="A1:R1"/>
    <mergeCell ref="A2:R2"/>
    <mergeCell ref="A4:H4"/>
    <mergeCell ref="A5:H5"/>
    <mergeCell ref="D7:H13"/>
    <mergeCell ref="J4:R4"/>
    <mergeCell ref="A16:B16"/>
    <mergeCell ref="C16:D16"/>
    <mergeCell ref="E16:F16"/>
    <mergeCell ref="G16:H16"/>
    <mergeCell ref="A17:B17"/>
    <mergeCell ref="C17:D17"/>
    <mergeCell ref="E17:F17"/>
    <mergeCell ref="G17:H17"/>
    <mergeCell ref="A63:L63"/>
    <mergeCell ref="A20:J20"/>
    <mergeCell ref="A21:J21"/>
    <mergeCell ref="A36:R36"/>
    <mergeCell ref="A37:R37"/>
    <mergeCell ref="A62:L62"/>
  </mergeCells>
  <conditionalFormatting sqref="E17">
    <cfRule type="expression" dxfId="18" priority="26">
      <formula>E17&gt;0</formula>
    </cfRule>
  </conditionalFormatting>
  <conditionalFormatting sqref="E65:E75">
    <cfRule type="expression" dxfId="17" priority="22">
      <formula>E65="Alta"</formula>
    </cfRule>
  </conditionalFormatting>
  <conditionalFormatting sqref="G17">
    <cfRule type="expression" dxfId="16" priority="27">
      <formula>G17&gt;0</formula>
    </cfRule>
  </conditionalFormatting>
  <conditionalFormatting sqref="I23:I33">
    <cfRule type="expression" dxfId="15" priority="18">
      <formula>I23="VENCIDO"</formula>
    </cfRule>
  </conditionalFormatting>
  <conditionalFormatting sqref="I65:I75">
    <cfRule type="expression" dxfId="14" priority="23">
      <formula>OR(I65="Resuelta",I65="Cerrada")</formula>
    </cfRule>
    <cfRule type="expression" dxfId="13" priority="24">
      <formula>OR(I65="Abierta",I65="En proceso")</formula>
    </cfRule>
  </conditionalFormatting>
  <conditionalFormatting sqref="J17:J21 I22:I33 J36:J56">
    <cfRule type="expression" dxfId="12" priority="1">
      <formula>I17="VENCIDO"</formula>
    </cfRule>
  </conditionalFormatting>
  <conditionalFormatting sqref="L65:L75">
    <cfRule type="expression" dxfId="11" priority="25">
      <formula>L65="VENCIDA"</formula>
    </cfRule>
  </conditionalFormatting>
  <conditionalFormatting sqref="Q39:Q56">
    <cfRule type="expression" dxfId="10" priority="19">
      <formula>Q39="A tiempo"</formula>
    </cfRule>
    <cfRule type="expression" dxfId="9" priority="20">
      <formula>Q39="Atrasada"</formula>
    </cfRule>
  </conditionalFormatting>
  <conditionalFormatting sqref="R39:R56">
    <cfRule type="expression" dxfId="8" priority="21">
      <formula>R39&lt;&gt;""</formula>
    </cfRule>
  </conditionalFormatting>
  <dataValidations count="10">
    <dataValidation type="list" sqref="I39:I56" xr:uid="{00000000-0002-0000-0200-000000000000}">
      <formula1>"Pendiente,Confirmado,En proceso,Realizado,Cancelado"</formula1>
    </dataValidation>
    <dataValidation type="list" sqref="E65:E75" xr:uid="{00000000-0002-0000-0200-000001000000}">
      <formula1>"Baja,Media,Alta"</formula1>
    </dataValidation>
    <dataValidation type="list" sqref="I65:I75" xr:uid="{00000000-0002-0000-0200-000002000000}">
      <formula1>"Abierta,En proceso,Resuelta,Cerrada"</formula1>
    </dataValidation>
    <dataValidation type="list" sqref="J65:J75" xr:uid="{00000000-0002-0000-0200-000003000000}">
      <formula1>"Atención,Encargado,Dirección / especialista"</formula1>
    </dataValidation>
    <dataValidation type="list" sqref="B39:B56 B65:B75" xr:uid="{00000000-0002-0000-0200-000004000000}">
      <formula1>$D$23:$D$33</formula1>
    </dataValidation>
    <dataValidation type="date" allowBlank="1" sqref="H23:H33 H65:H75 C65:C75 B23:B33 J39:K56" xr:uid="{00000000-0002-0000-0200-000005000000}">
      <formula1>DATE(2020,1,1)</formula1>
      <formula2>DATE(2100,12,31)</formula2>
    </dataValidation>
    <dataValidation type="whole" operator="greaterThanOrEqual" allowBlank="1" sqref="E39:E56" xr:uid="{00000000-0002-0000-0200-000006000000}">
      <formula1>1</formula1>
    </dataValidation>
    <dataValidation type="decimal" operator="greaterThanOrEqual" allowBlank="1" sqref="L39:M56 F39:G56" xr:uid="{00000000-0002-0000-0200-000007000000}">
      <formula1>0</formula1>
    </dataValidation>
    <dataValidation type="list" sqref="C36:C37 C17:C33" xr:uid="{00000000-0002-0000-0200-000008000000}">
      <formula1>"WhatsApp,Tienda física,Instagram,Facebook,Página web,Marketplace,Otro"</formula1>
    </dataValidation>
    <dataValidation type="list" sqref="F17:F21 E22:E33 F36:F38" xr:uid="{00000000-0002-0000-0200-000009000000}">
      <formula1>"Nuevo,Contactado,Interesado,Propuesta enviada,Convertido,Cerrado sin compra"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topLeftCell="A24" workbookViewId="0">
      <selection activeCell="A43" sqref="A43"/>
    </sheetView>
  </sheetViews>
  <sheetFormatPr defaultRowHeight="13.8"/>
  <cols>
    <col min="1" max="1" width="27" customWidth="1"/>
    <col min="2" max="2" width="17" customWidth="1"/>
    <col min="3" max="3" width="32" customWidth="1"/>
    <col min="4" max="4" width="34" customWidth="1"/>
    <col min="5" max="5" width="20" customWidth="1"/>
    <col min="6" max="6" width="26.09765625" customWidth="1"/>
    <col min="7" max="7" width="14" customWidth="1"/>
    <col min="8" max="9" width="16" customWidth="1"/>
    <col min="10" max="14" width="17" customWidth="1"/>
  </cols>
  <sheetData>
    <row r="1" spans="1:14" ht="28.8" customHeight="1">
      <c r="A1" s="84" t="s">
        <v>180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5"/>
    </row>
    <row r="2" spans="1:14" ht="15.6" customHeight="1">
      <c r="A2" s="86" t="s">
        <v>181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</row>
    <row r="4" spans="1:14">
      <c r="A4" s="72" t="s">
        <v>182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89"/>
    </row>
    <row r="6" spans="1:14" ht="9.9" customHeight="1">
      <c r="A6" s="14" t="s">
        <v>34</v>
      </c>
      <c r="B6" s="15" t="s">
        <v>35</v>
      </c>
      <c r="C6" s="15" t="s">
        <v>183</v>
      </c>
      <c r="D6" s="16" t="s">
        <v>184</v>
      </c>
      <c r="F6" s="14" t="s">
        <v>185</v>
      </c>
      <c r="G6" s="16" t="s">
        <v>35</v>
      </c>
      <c r="I6" s="90" t="str">
        <f>IF(AND(COUNTIF($B$7:$B$10,"PENDIENTE")=0,$G$7="Sí",$G$8="Sí"),"LISTO PARA INTERPRETAR
Los datos están conciliados. Ya puedes leer el dashboard.","CIERRE PENDIENTE
Completa los puntos pendientes antes de sacar conclusiones.")</f>
        <v>CIERRE PENDIENTE
Completa los puntos pendientes antes de sacar conclusiones.</v>
      </c>
      <c r="J6" s="91"/>
      <c r="K6" s="91"/>
      <c r="L6" s="91"/>
      <c r="M6" s="92"/>
      <c r="N6" s="93"/>
    </row>
    <row r="7" spans="1:14" ht="27.6">
      <c r="A7" s="17" t="s">
        <v>186</v>
      </c>
      <c r="B7" s="18" t="str">
        <f>IF(SUM('02_Controla'!$O$39:$O$56)=0,"LISTO","PENDIENTE")</f>
        <v>PENDIENTE</v>
      </c>
      <c r="C7" s="19" t="s">
        <v>187</v>
      </c>
      <c r="D7" s="19" t="s">
        <v>188</v>
      </c>
      <c r="F7" s="17" t="s">
        <v>189</v>
      </c>
      <c r="G7" s="28" t="s">
        <v>26</v>
      </c>
      <c r="I7" s="94"/>
      <c r="J7" s="95"/>
      <c r="K7" s="95"/>
      <c r="L7" s="95"/>
      <c r="M7" s="96"/>
      <c r="N7" s="97"/>
    </row>
    <row r="8" spans="1:14" ht="27.6">
      <c r="A8" s="17" t="s">
        <v>190</v>
      </c>
      <c r="B8" s="18" t="str">
        <f>IF(COUNTIFS('02_Controla'!$N$39:$N$56,"&gt;0",'02_Controla'!$I$39:$I$56,"&lt;&gt;Realizado",'02_Controla'!$I$39:$I$56,"&lt;&gt;Cancelado")=0,"LISTO","PENDIENTE")</f>
        <v>PENDIENTE</v>
      </c>
      <c r="C8" s="19" t="s">
        <v>191</v>
      </c>
      <c r="D8" s="19" t="s">
        <v>192</v>
      </c>
      <c r="F8" s="17" t="s">
        <v>193</v>
      </c>
      <c r="G8" s="28" t="s">
        <v>26</v>
      </c>
      <c r="I8" s="94"/>
      <c r="J8" s="95"/>
      <c r="K8" s="95"/>
      <c r="L8" s="95"/>
      <c r="M8" s="96"/>
      <c r="N8" s="97"/>
    </row>
    <row r="9" spans="1:14" ht="27.6">
      <c r="A9" s="17" t="s">
        <v>194</v>
      </c>
      <c r="B9" s="18" t="str">
        <f>IF(COUNTIFS('02_Controla'!$N$39:$N$56,"&gt;0",'02_Controla'!$M$39:$M$56,"")=0,"LISTO","PENDIENTE")</f>
        <v>LISTO</v>
      </c>
      <c r="C9" s="19" t="s">
        <v>195</v>
      </c>
      <c r="D9" s="19" t="s">
        <v>196</v>
      </c>
      <c r="I9" s="94"/>
      <c r="J9" s="95"/>
      <c r="K9" s="95"/>
      <c r="L9" s="95"/>
      <c r="M9" s="96"/>
      <c r="N9" s="97"/>
    </row>
    <row r="10" spans="1:14">
      <c r="A10" s="17" t="s">
        <v>197</v>
      </c>
      <c r="B10" s="18" t="str">
        <f>IF(COUNTIF('02_Controla'!$I$65:$I$75,"Abierta")+COUNTIF('02_Controla'!$I$65:$I$75,"En proceso")=0,"LISTO","PENDIENTE")</f>
        <v>LISTO</v>
      </c>
      <c r="C10" s="19" t="s">
        <v>198</v>
      </c>
      <c r="D10" s="19" t="s">
        <v>199</v>
      </c>
      <c r="I10" s="98"/>
      <c r="J10" s="99"/>
      <c r="K10" s="99"/>
      <c r="L10" s="99"/>
      <c r="M10" s="100"/>
      <c r="N10" s="101"/>
    </row>
    <row r="11" spans="1:14">
      <c r="F11" s="9" t="s">
        <v>200</v>
      </c>
      <c r="G11" s="10" t="s">
        <v>54</v>
      </c>
    </row>
    <row r="12" spans="1:14">
      <c r="F12" s="9" t="s">
        <v>201</v>
      </c>
      <c r="G12" s="23" t="str">
        <f>IF(AND(COUNTIF($B$7:$B$10,"PENDIENTE")=0,$G$7="Sí",$G$8="Sí"),"SÍ","NO")</f>
        <v>NO</v>
      </c>
    </row>
    <row r="13" spans="1:14">
      <c r="A13" s="54" t="s">
        <v>202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102"/>
    </row>
    <row r="14" spans="1:14">
      <c r="A14" s="9" t="s">
        <v>203</v>
      </c>
      <c r="B14" s="12">
        <v>0</v>
      </c>
    </row>
    <row r="15" spans="1:14" ht="43.2">
      <c r="A15" s="9" t="s">
        <v>204</v>
      </c>
      <c r="B15" s="31" t="s">
        <v>205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7" spans="1:14">
      <c r="A17" s="55" t="s">
        <v>206</v>
      </c>
      <c r="B17" s="55"/>
      <c r="C17" s="55"/>
      <c r="D17" s="55" t="s">
        <v>207</v>
      </c>
      <c r="E17" s="55"/>
      <c r="F17" s="55"/>
      <c r="G17" s="55" t="s">
        <v>208</v>
      </c>
      <c r="H17" s="55"/>
      <c r="I17" s="55"/>
      <c r="J17" s="55" t="s">
        <v>209</v>
      </c>
      <c r="K17" s="55"/>
      <c r="L17" s="55"/>
      <c r="M17" s="55" t="s">
        <v>210</v>
      </c>
      <c r="N17" s="65"/>
    </row>
    <row r="18" spans="1:14">
      <c r="A18" s="75">
        <f>SUM('02_Controla'!$N$39:$N$56)</f>
        <v>2900</v>
      </c>
      <c r="B18" s="76"/>
      <c r="C18" s="77"/>
      <c r="D18" s="75">
        <f>SUM('02_Controla'!$P$39:$P$56)</f>
        <v>800</v>
      </c>
      <c r="E18" s="76"/>
      <c r="F18" s="77"/>
      <c r="G18" s="75">
        <f>SUM('02_Controla'!$P$39:$P$56)-$B$14</f>
        <v>800</v>
      </c>
      <c r="H18" s="76"/>
      <c r="I18" s="77"/>
      <c r="J18" s="56">
        <f>IFERROR(COUNTIF('02_Controla'!$E$23:$E$33,"Convertido")/COUNTIF('02_Controla'!$D$23:$D$33,"&lt;&gt;"),0)</f>
        <v>0.5</v>
      </c>
      <c r="K18" s="57"/>
      <c r="L18" s="58"/>
      <c r="M18" s="66">
        <f>IFERROR(COUNTIF('02_Controla'!$Q$39:$Q$56,"A tiempo")/(COUNTIF('02_Controla'!$Q$39:$Q$56,"A tiempo")+COUNTIF('02_Controla'!$Q$39:$Q$56,"Atrasada")),0)</f>
        <v>1</v>
      </c>
      <c r="N18" s="67"/>
    </row>
    <row r="19" spans="1:14">
      <c r="A19" s="78"/>
      <c r="B19" s="79"/>
      <c r="C19" s="80"/>
      <c r="D19" s="78"/>
      <c r="E19" s="79"/>
      <c r="F19" s="80"/>
      <c r="G19" s="78"/>
      <c r="H19" s="79"/>
      <c r="I19" s="80"/>
      <c r="J19" s="59"/>
      <c r="K19" s="60"/>
      <c r="L19" s="61"/>
      <c r="M19" s="68"/>
      <c r="N19" s="69"/>
    </row>
    <row r="20" spans="1:14">
      <c r="A20" s="81"/>
      <c r="B20" s="82"/>
      <c r="C20" s="83"/>
      <c r="D20" s="81"/>
      <c r="E20" s="82"/>
      <c r="F20" s="83"/>
      <c r="G20" s="81"/>
      <c r="H20" s="82"/>
      <c r="I20" s="83"/>
      <c r="J20" s="62"/>
      <c r="K20" s="63"/>
      <c r="L20" s="64"/>
      <c r="M20" s="70"/>
      <c r="N20" s="71"/>
    </row>
    <row r="22" spans="1:14">
      <c r="A22" s="72" t="s">
        <v>211</v>
      </c>
      <c r="B22" s="72"/>
      <c r="C22" s="72"/>
      <c r="D22" s="73"/>
      <c r="E22" s="54" t="s">
        <v>212</v>
      </c>
      <c r="F22" s="54"/>
      <c r="G22" s="54"/>
      <c r="H22" s="74"/>
    </row>
    <row r="23" spans="1:14" ht="9.9" customHeight="1">
      <c r="A23" s="14" t="s">
        <v>85</v>
      </c>
      <c r="B23" s="15" t="s">
        <v>86</v>
      </c>
      <c r="C23" s="16" t="s">
        <v>213</v>
      </c>
      <c r="E23" s="14" t="s">
        <v>131</v>
      </c>
      <c r="F23" s="15" t="s">
        <v>214</v>
      </c>
      <c r="G23" s="16" t="s">
        <v>215</v>
      </c>
    </row>
    <row r="24" spans="1:14">
      <c r="A24" s="17" t="s">
        <v>214</v>
      </c>
      <c r="B24" s="32">
        <f>COUNTIF('02_Controla'!$D$23:$D$33,"&lt;&gt;")</f>
        <v>4</v>
      </c>
      <c r="C24" s="19" t="s">
        <v>216</v>
      </c>
      <c r="E24" s="17" t="s">
        <v>135</v>
      </c>
      <c r="F24" s="19">
        <f>COUNTIF('02_Controla'!$C$23:$C$33,E24)</f>
        <v>1</v>
      </c>
      <c r="G24" s="19">
        <f>COUNTIFS('02_Controla'!$C$23:$C$33,E24,'02_Controla'!$E$23:$E$33,"Convertido")</f>
        <v>1</v>
      </c>
    </row>
    <row r="25" spans="1:14">
      <c r="A25" s="17" t="s">
        <v>215</v>
      </c>
      <c r="B25" s="32">
        <f>COUNTIF('02_Controla'!$E$23:$E$33,"Convertido")</f>
        <v>2</v>
      </c>
      <c r="C25" s="19" t="s">
        <v>217</v>
      </c>
      <c r="E25" s="17" t="s">
        <v>140</v>
      </c>
      <c r="F25" s="19">
        <f>COUNTIF('02_Controla'!$C$23:$C$33,E25)</f>
        <v>1</v>
      </c>
      <c r="G25" s="19">
        <f>COUNTIFS('02_Controla'!$C$23:$C$33,E25,'02_Controla'!$E$23:$E$33,"Convertido")</f>
        <v>0</v>
      </c>
    </row>
    <row r="26" spans="1:14">
      <c r="A26" s="17" t="s">
        <v>218</v>
      </c>
      <c r="B26" s="32">
        <f>COUNTIF('02_Controla'!$N$39:$N$56,"&gt;0")</f>
        <v>2</v>
      </c>
      <c r="C26" s="19" t="s">
        <v>219</v>
      </c>
      <c r="E26" s="17" t="s">
        <v>220</v>
      </c>
      <c r="F26" s="19">
        <f>COUNTIF('02_Controla'!$C$23:$C$33,E26)</f>
        <v>0</v>
      </c>
      <c r="G26" s="19">
        <f>COUNTIFS('02_Controla'!$C$23:$C$33,E26,'02_Controla'!$E$23:$E$33,"Convertido")</f>
        <v>0</v>
      </c>
    </row>
    <row r="27" spans="1:14">
      <c r="A27" s="17" t="s">
        <v>221</v>
      </c>
      <c r="B27" s="33">
        <f>IFERROR(SUM('02_Controla'!$N$39:$N$56)/COUNTIF('02_Controla'!$N$39:$N$56,"&gt;0"),0)</f>
        <v>1450</v>
      </c>
      <c r="C27" s="19" t="s">
        <v>222</v>
      </c>
      <c r="E27" s="17" t="s">
        <v>143</v>
      </c>
      <c r="F27" s="19">
        <f>COUNTIF('02_Controla'!$C$23:$C$33,E27)</f>
        <v>1</v>
      </c>
      <c r="G27" s="19">
        <f>COUNTIFS('02_Controla'!$C$23:$C$33,E27,'02_Controla'!$E$23:$E$33,"Convertido")</f>
        <v>0</v>
      </c>
    </row>
    <row r="28" spans="1:14">
      <c r="A28" s="17" t="s">
        <v>223</v>
      </c>
      <c r="B28" s="33">
        <f>SUM('02_Controla'!$O$39:$O$56)</f>
        <v>2800</v>
      </c>
      <c r="C28" s="19" t="s">
        <v>224</v>
      </c>
      <c r="E28" s="17" t="s">
        <v>146</v>
      </c>
      <c r="F28" s="19">
        <f>COUNTIF('02_Controla'!$C$23:$C$33,E28)</f>
        <v>1</v>
      </c>
      <c r="G28" s="19">
        <f>COUNTIFS('02_Controla'!$C$23:$C$33,E28,'02_Controla'!$E$23:$E$33,"Convertido")</f>
        <v>1</v>
      </c>
    </row>
    <row r="29" spans="1:14">
      <c r="A29" s="17" t="s">
        <v>225</v>
      </c>
      <c r="B29" s="32">
        <f>COUNTIF('02_Controla'!$I$65:$I$75,"Abierta")+COUNTIF('02_Controla'!$I$65:$I$75,"En proceso")</f>
        <v>0</v>
      </c>
      <c r="C29" s="19" t="s">
        <v>226</v>
      </c>
      <c r="E29" s="17" t="s">
        <v>227</v>
      </c>
      <c r="F29" s="19">
        <f>COUNTIF('02_Controla'!$C$23:$C$33,E29)</f>
        <v>0</v>
      </c>
      <c r="G29" s="19">
        <f>COUNTIFS('02_Controla'!$C$23:$C$33,E29,'02_Controla'!$E$23:$E$33,"Convertido")</f>
        <v>0</v>
      </c>
    </row>
    <row r="30" spans="1:14">
      <c r="A30" s="17" t="s">
        <v>228</v>
      </c>
      <c r="B30" s="32">
        <f>COUNTIF('02_Controla'!$I$65:$I$75,"Resuelta")+COUNTIF('02_Controla'!$I$65:$I$75,"Cerrada")</f>
        <v>1</v>
      </c>
      <c r="C30" s="19" t="s">
        <v>229</v>
      </c>
      <c r="E30" s="17" t="s">
        <v>230</v>
      </c>
      <c r="F30" s="19">
        <f>COUNTIF('02_Controla'!$C$23:$C$33,E30)</f>
        <v>0</v>
      </c>
      <c r="G30" s="19">
        <f>COUNTIFS('02_Controla'!$C$23:$C$33,E30,'02_Controla'!$E$23:$E$33,"Convertido")</f>
        <v>0</v>
      </c>
    </row>
    <row r="33" spans="1:14">
      <c r="A33" s="44" t="s">
        <v>83</v>
      </c>
      <c r="B33" s="44"/>
      <c r="C33" s="44"/>
      <c r="D33" s="44"/>
      <c r="E33" s="44"/>
      <c r="F33" s="44"/>
      <c r="G33" s="44"/>
      <c r="H33" s="44"/>
      <c r="I33" s="13"/>
      <c r="J33" s="13"/>
      <c r="K33" s="13"/>
      <c r="L33" s="13"/>
      <c r="M33" s="13"/>
    </row>
    <row r="34" spans="1:14">
      <c r="A34" s="45" t="str">
        <f>IF(SUM('02_Controla'!$N$39:$N$56)=0,"Aún no hay ventas netas registradas.","Ventas netas: "&amp;TEXT(SUM('02_Controla'!$N$39:$N$56),"$#,##0")&amp;". Contribución: "&amp;TEXT(SUM('02_Controla'!$P$39:$P$56),"$#,##0")&amp;". Resultado después de publicidad: "&amp;TEXT(SUM('02_Controla'!$P$39:$P$56)-$B$14,"$#,##0")&amp;". Servicios a tiempo: "&amp;TEXT(IFERROR(COUNTIF('02_Controla'!$Q$39:$Q$56,"A tiempo")/(COUNTIF('02_Controla'!$Q$39:$Q$56,"A tiempo")+COUNTIF('02_Controla'!$Q$39:$Q$56,"Atrasada")),0),"0%")&amp;". Incidencias abiertas: "&amp;(COUNTIF('02_Controla'!$I$65:$I$75,"Abierta")+COUNTIF('02_Controla'!$I$65:$I$75,"En proceso"))&amp;"." )</f>
        <v>Ventas netas: $2,900. Contribución: $800. Resultado después de publicidad: $800. Servicios a tiempo: 100%. Incidencias abiertas: 0.</v>
      </c>
      <c r="B34" s="46"/>
      <c r="C34" s="46"/>
      <c r="D34" s="46"/>
      <c r="E34" s="46"/>
      <c r="F34" s="46"/>
      <c r="G34" s="46"/>
      <c r="H34" s="46"/>
      <c r="I34" s="35"/>
      <c r="J34" s="35"/>
      <c r="K34" s="35"/>
      <c r="L34" s="35"/>
      <c r="M34" s="37"/>
    </row>
    <row r="35" spans="1:14">
      <c r="A35" s="47"/>
      <c r="B35" s="48"/>
      <c r="C35" s="48"/>
      <c r="D35" s="48"/>
      <c r="E35" s="48"/>
      <c r="F35" s="48"/>
      <c r="G35" s="48"/>
      <c r="H35" s="48"/>
      <c r="I35" s="34"/>
      <c r="J35" s="34"/>
      <c r="K35" s="34"/>
      <c r="L35" s="34"/>
      <c r="M35" s="38"/>
    </row>
    <row r="36" spans="1:14">
      <c r="A36" s="49"/>
      <c r="B36" s="50"/>
      <c r="C36" s="50"/>
      <c r="D36" s="50"/>
      <c r="E36" s="50"/>
      <c r="F36" s="50"/>
      <c r="G36" s="50"/>
      <c r="H36" s="50"/>
      <c r="I36" s="36"/>
      <c r="J36" s="36"/>
      <c r="K36" s="36"/>
      <c r="L36" s="36"/>
      <c r="M36" s="39"/>
    </row>
    <row r="37" spans="1:14">
      <c r="A37" s="51"/>
      <c r="B37" s="52"/>
      <c r="C37" s="52"/>
      <c r="D37" s="52"/>
      <c r="E37" s="52"/>
      <c r="F37" s="52"/>
      <c r="G37" s="52"/>
      <c r="H37" s="53"/>
    </row>
    <row r="40" spans="1:14">
      <c r="A40" s="54" t="s">
        <v>231</v>
      </c>
      <c r="B40" s="54"/>
      <c r="C40" s="54"/>
      <c r="D40" s="54"/>
      <c r="E40" s="54"/>
      <c r="F40" s="54"/>
      <c r="G40" s="54"/>
      <c r="H40" s="54"/>
    </row>
    <row r="41" spans="1:14">
      <c r="A41" s="9" t="s">
        <v>232</v>
      </c>
      <c r="B41" s="40"/>
      <c r="C41" s="41"/>
      <c r="D41" s="41"/>
      <c r="E41" s="41"/>
      <c r="F41" s="41"/>
      <c r="G41" s="41"/>
      <c r="H41" s="41"/>
    </row>
    <row r="42" spans="1:14">
      <c r="A42" s="9" t="s">
        <v>233</v>
      </c>
      <c r="B42" s="40"/>
      <c r="C42" s="41"/>
      <c r="D42" s="41"/>
      <c r="E42" s="41"/>
      <c r="F42" s="41"/>
      <c r="G42" s="41"/>
      <c r="H42" s="41"/>
    </row>
    <row r="43" spans="1:14">
      <c r="A43" s="9" t="s">
        <v>234</v>
      </c>
      <c r="B43" s="40"/>
      <c r="C43" s="41"/>
      <c r="D43" s="41"/>
      <c r="E43" s="41"/>
      <c r="F43" s="41"/>
      <c r="G43" s="41"/>
      <c r="H43" s="41"/>
    </row>
    <row r="45" spans="1:14" ht="24" customHeight="1"/>
    <row r="46" spans="1:14">
      <c r="A46" s="42" t="s">
        <v>235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3"/>
    </row>
    <row r="47" spans="1:14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</sheetData>
  <mergeCells count="24">
    <mergeCell ref="A1:N1"/>
    <mergeCell ref="A2:N2"/>
    <mergeCell ref="A4:N4"/>
    <mergeCell ref="I6:N10"/>
    <mergeCell ref="A13:N13"/>
    <mergeCell ref="J17:L17"/>
    <mergeCell ref="J18:L20"/>
    <mergeCell ref="M17:N17"/>
    <mergeCell ref="M18:N20"/>
    <mergeCell ref="A22:D22"/>
    <mergeCell ref="E22:H22"/>
    <mergeCell ref="A17:C17"/>
    <mergeCell ref="A18:C20"/>
    <mergeCell ref="D17:F17"/>
    <mergeCell ref="D18:F20"/>
    <mergeCell ref="G17:I17"/>
    <mergeCell ref="G18:I20"/>
    <mergeCell ref="B43:H43"/>
    <mergeCell ref="A46:N48"/>
    <mergeCell ref="A33:H33"/>
    <mergeCell ref="A34:H37"/>
    <mergeCell ref="A40:H40"/>
    <mergeCell ref="B41:H41"/>
    <mergeCell ref="B42:H42"/>
  </mergeCells>
  <conditionalFormatting sqref="B7:B10">
    <cfRule type="expression" dxfId="7" priority="6">
      <formula>B7="LISTO"</formula>
    </cfRule>
    <cfRule type="expression" dxfId="6" priority="7">
      <formula>B7="PENDIENTE"</formula>
    </cfRule>
  </conditionalFormatting>
  <conditionalFormatting sqref="B28:B29">
    <cfRule type="expression" dxfId="5" priority="12">
      <formula>B28&gt;0</formula>
    </cfRule>
  </conditionalFormatting>
  <conditionalFormatting sqref="G12">
    <cfRule type="expression" dxfId="4" priority="8">
      <formula>G12="SÍ"</formula>
    </cfRule>
    <cfRule type="expression" dxfId="3" priority="9">
      <formula>G12="NO"</formula>
    </cfRule>
  </conditionalFormatting>
  <conditionalFormatting sqref="I6:M10">
    <cfRule type="expression" dxfId="2" priority="10">
      <formula>LEFT(I6,5)="LISTO"</formula>
    </cfRule>
    <cfRule type="expression" dxfId="1" priority="11">
      <formula>LEFT(I6,6)="CIERRE"</formula>
    </cfRule>
  </conditionalFormatting>
  <conditionalFormatting sqref="I6:N10">
    <cfRule type="expression" dxfId="0" priority="3">
      <formula>LEFT(I6,5)="LISTO"</formula>
    </cfRule>
  </conditionalFormatting>
  <dataValidations count="2">
    <dataValidation type="list" sqref="G7:G8 G11" xr:uid="{00000000-0002-0000-0300-000000000000}">
      <formula1>"Sí,No"</formula1>
    </dataValidation>
    <dataValidation type="decimal" operator="greaterThanOrEqual" allowBlank="1" sqref="B14" xr:uid="{00000000-0002-0000-0300-000001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00_Mi_Buen_Fin</vt:lpstr>
      <vt:lpstr>01_Alistate</vt:lpstr>
      <vt:lpstr>02_Controla</vt:lpstr>
      <vt:lpstr>03_Cierra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Alejandro Davila Alcala</cp:lastModifiedBy>
  <dcterms:modified xsi:type="dcterms:W3CDTF">2026-09-22T05:45:48Z</dcterms:modified>
</cp:coreProperties>
</file>